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5100" windowWidth="15450" windowHeight="4050"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'list'!$B$715:$B$726</definedName>
    <definedName name="EBK_DEIN">'list'!$B$11:$B$276</definedName>
    <definedName name="EBK_DEIN2">'list'!$B$11:$C$276</definedName>
    <definedName name="list">'list'!$A$2:$A$6</definedName>
    <definedName name="OP_LIST">'list'!$A$282:$A$305</definedName>
    <definedName name="OP_LIST2">'list'!$A$282:$B$305</definedName>
    <definedName name="PRBK">'list'!$A$311:$B$712</definedName>
    <definedName name="_xlnm.Print_Area" localSheetId="1">'OTCHET-agregirani pokazateli'!$B$8:$O$113</definedName>
    <definedName name="_xlnm.Print_Titles" localSheetId="1">'OTCHET-agregirani pokazateli'!$17:$20</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pokazateli'!$B$1:$N$114</definedName>
    <definedName name="Z_D568CAA1_2ECB_11D7_B07A_00010309AF38_.wvu.Rows" localSheetId="1" hidden="1">'OTCHET-agregirani pokazateli'!$55:$55,'OTCHET-agregirani pokazateli'!$62:$62,'OTCHET-agregirani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2018 г</t>
        </r>
        <r>
          <rPr>
            <sz val="11"/>
            <rFont val="Times New Roman"/>
            <family val="1"/>
          </rPr>
          <t>.</t>
        </r>
      </text>
    </comment>
    <comment ref="C134"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7"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6"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2"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34" authorId="1">
      <text>
        <r>
          <rPr>
            <i/>
            <u val="single"/>
            <sz val="9"/>
            <rFont val="Tahoma"/>
            <family val="2"/>
          </rPr>
          <t>Забележка:</t>
        </r>
        <r>
          <rPr>
            <sz val="9"/>
            <rFont val="Tahoma"/>
            <family val="2"/>
          </rPr>
          <t xml:space="preserve"> § 89-01 се използва само от ЦБ, НОИ, НЗОК и НАП.</t>
        </r>
      </text>
    </comment>
    <comment ref="D564" authorId="1">
      <text>
        <r>
          <rPr>
            <i/>
            <u val="single"/>
            <sz val="10"/>
            <rFont val="Times New Roman"/>
            <family val="1"/>
          </rPr>
          <t>Забележка:</t>
        </r>
        <r>
          <rPr>
            <sz val="10"/>
            <rFont val="Times New Roman"/>
            <family val="1"/>
          </rPr>
          <t xml:space="preserve"> § 93-55 и 93-56 се използва само от НАП.</t>
        </r>
      </text>
    </comment>
    <comment ref="C593"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9"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7" authorId="2">
      <text>
        <r>
          <rPr>
            <sz val="10"/>
            <rFont val="Times New Roman"/>
            <family val="1"/>
          </rPr>
          <t xml:space="preserve">използва се от разпоредители с представителства в чужбина 
</t>
        </r>
      </text>
    </comment>
    <comment ref="D221" authorId="2">
      <text>
        <r>
          <rPr>
            <sz val="10"/>
            <rFont val="Times New Roman"/>
            <family val="1"/>
          </rPr>
          <t>тук се отчитат разходите за СБКО, неотчетени по други позиции на ЕБК</t>
        </r>
      </text>
    </comment>
    <comment ref="D565" authorId="1">
      <text>
        <r>
          <rPr>
            <i/>
            <u val="single"/>
            <sz val="10"/>
            <rFont val="Times New Roman"/>
            <family val="1"/>
          </rPr>
          <t>Забележка:</t>
        </r>
        <r>
          <rPr>
            <sz val="10"/>
            <rFont val="Times New Roman"/>
            <family val="1"/>
          </rPr>
          <t xml:space="preserve"> § 93-55 и 93-56 се използва само от НАП.</t>
        </r>
      </text>
    </comment>
    <comment ref="C588"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7"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60"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2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8" authorId="2">
      <text>
        <r>
          <rPr>
            <sz val="10"/>
            <rFont val="Times New Roman"/>
            <family val="1"/>
          </rPr>
          <t xml:space="preserve">използва се от разпоредители с представителства в чужбина 
</t>
        </r>
      </text>
    </comment>
    <comment ref="D662" authorId="2">
      <text>
        <r>
          <rPr>
            <sz val="10"/>
            <rFont val="Times New Roman"/>
            <family val="1"/>
          </rPr>
          <t>тук се отчитат разходите за СБКО, неотчетени по други позиции на ЕБК</t>
        </r>
      </text>
    </comment>
    <comment ref="D663"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9"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41"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361" authorId="0">
      <text>
        <r>
          <rPr>
            <sz val="10"/>
            <color indexed="8"/>
            <rFont val="Times New Roman"/>
            <family val="1"/>
          </rPr>
          <t xml:space="preserve">Допълнено с
 </t>
        </r>
        <r>
          <rPr>
            <b/>
            <sz val="10"/>
            <color indexed="8"/>
            <rFont val="Times New Roman"/>
            <family val="1"/>
          </rPr>
          <t>ДДС № 08/2013 г.</t>
        </r>
      </text>
    </comment>
    <comment ref="A569"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D569"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A586"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D586"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<sst xmlns="http://schemas.openxmlformats.org/spreadsheetml/2006/main" count="3512" uniqueCount="2241">
  <si>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</si>
  <si>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</si>
  <si>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</si>
  <si>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</si>
  <si>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</si>
  <si>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</si>
  <si>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</si>
  <si>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</si>
  <si>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</si>
  <si>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</si>
  <si>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</si>
  <si>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</si>
  <si>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</si>
  <si>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</si>
  <si>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</si>
  <si>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</si>
  <si>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</si>
  <si>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</si>
  <si>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</si>
  <si>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</si>
  <si>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</si>
  <si>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</si>
  <si>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</si>
  <si>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</si>
  <si>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</si>
  <si>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</si>
  <si>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</si>
  <si>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</si>
  <si>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</si>
  <si>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</si>
  <si>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</si>
  <si>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</si>
  <si>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</si>
  <si>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</si>
  <si>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</si>
  <si>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</si>
  <si>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</si>
  <si>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</si>
  <si>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</si>
  <si>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</si>
  <si>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</si>
  <si>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</si>
  <si>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</si>
  <si>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</si>
  <si>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</si>
  <si>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</si>
  <si>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</si>
  <si>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</si>
  <si>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</si>
  <si>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</si>
  <si>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</si>
  <si>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</si>
  <si>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</si>
  <si>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</si>
  <si>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</si>
  <si>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</si>
  <si>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</si>
  <si>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</si>
  <si>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</si>
  <si>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</si>
  <si>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</si>
  <si>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</si>
  <si>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</si>
  <si>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</si>
  <si>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</si>
  <si>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</si>
  <si>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</si>
  <si>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</si>
  <si>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</si>
  <si>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</si>
  <si>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</si>
  <si>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</si>
  <si>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</si>
  <si>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</si>
  <si>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</si>
  <si>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</si>
  <si>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</si>
  <si>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</si>
  <si>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</si>
  <si>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</si>
  <si>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</si>
  <si>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</si>
  <si>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</si>
  <si>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</si>
  <si>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</si>
  <si>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</si>
  <si>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</si>
  <si>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</si>
  <si>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</si>
  <si>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</si>
  <si>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</si>
  <si>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</si>
  <si>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</si>
  <si>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</si>
  <si>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</si>
  <si>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</si>
  <si>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</si>
  <si>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</si>
  <si>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</si>
  <si>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</si>
  <si>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</si>
  <si>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</si>
  <si>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</si>
  <si>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</si>
  <si>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</si>
  <si>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</si>
  <si>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</si>
  <si>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</si>
  <si>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</si>
  <si>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</si>
  <si>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</si>
  <si>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</si>
  <si>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</si>
  <si>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</si>
  <si>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</si>
  <si>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</si>
  <si>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</si>
  <si>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</si>
  <si>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</si>
  <si>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</si>
  <si>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</si>
  <si>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</si>
  <si>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</si>
  <si>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</si>
  <si>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</si>
  <si>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</si>
  <si>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</si>
  <si>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</si>
  <si>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</si>
  <si>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</si>
  <si>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</si>
  <si>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</si>
  <si>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</si>
  <si>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</si>
  <si>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</si>
  <si>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</si>
  <si>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</si>
  <si>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</si>
  <si>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</si>
  <si>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</si>
  <si>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</si>
  <si>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</si>
  <si>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</si>
  <si>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</si>
  <si>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</si>
  <si>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</si>
  <si>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</si>
  <si>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</si>
  <si>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</si>
  <si>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</si>
  <si>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</si>
  <si>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</si>
  <si>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</si>
  <si>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</si>
  <si>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</si>
  <si>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</si>
  <si>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</si>
  <si>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</si>
  <si>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</si>
  <si>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</si>
  <si>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</si>
  <si>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</si>
  <si>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</si>
  <si>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</si>
  <si>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</si>
  <si>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</si>
  <si>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</si>
  <si>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</si>
  <si>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</si>
  <si>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</si>
  <si>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</si>
  <si>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</si>
  <si>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</si>
  <si>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</si>
  <si>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</si>
  <si>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</si>
  <si>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</si>
  <si>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</si>
  <si>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</si>
  <si>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</si>
  <si>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</si>
  <si>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</si>
  <si>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</si>
  <si>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</si>
  <si>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</si>
  <si>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</si>
  <si>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</si>
  <si>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</si>
  <si>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</si>
  <si>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</si>
  <si>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</si>
  <si>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</si>
  <si>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</si>
  <si>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</si>
  <si>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</si>
  <si>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</si>
  <si>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</si>
  <si>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</si>
  <si>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</si>
  <si>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</si>
  <si>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</si>
  <si>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</si>
  <si>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1714</t>
  </si>
  <si>
    <t>1715</t>
  </si>
  <si>
    <t>1716</t>
  </si>
  <si>
    <t>1717</t>
  </si>
  <si>
    <t>1718</t>
  </si>
  <si>
    <t>1719</t>
  </si>
  <si>
    <t>1721</t>
  </si>
  <si>
    <t>1722</t>
  </si>
  <si>
    <t>1723</t>
  </si>
  <si>
    <t>1731</t>
  </si>
  <si>
    <t>1732</t>
  </si>
  <si>
    <t>1733</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</si>
  <si>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</si>
  <si>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</si>
  <si>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</si>
  <si>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</si>
  <si>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</si>
  <si>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</si>
  <si>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</si>
  <si>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</si>
  <si>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</si>
  <si>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</si>
  <si>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</si>
  <si>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</si>
  <si>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</si>
  <si>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</si>
  <si>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</si>
  <si>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</si>
  <si>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</si>
  <si>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</si>
  <si>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</si>
  <si>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</si>
  <si>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</si>
  <si>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</si>
  <si>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</si>
  <si>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</si>
  <si>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</si>
  <si>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</si>
  <si>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</si>
  <si>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</si>
  <si>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</si>
  <si>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</si>
  <si>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</si>
  <si>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</si>
  <si>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</si>
  <si>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</si>
  <si>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</si>
  <si>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</si>
  <si>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</si>
  <si>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</si>
  <si>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</si>
  <si>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</si>
  <si>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</si>
  <si>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</si>
  <si>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</si>
  <si>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</si>
  <si>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</si>
  <si>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</si>
  <si>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</si>
  <si>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</si>
  <si>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</si>
  <si>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</si>
  <si>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</si>
  <si>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</si>
  <si>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</si>
  <si>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</si>
  <si>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</si>
  <si>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</si>
  <si>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</si>
  <si>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</si>
  <si>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</si>
  <si>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</si>
  <si>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</si>
  <si>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</si>
  <si>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</si>
  <si>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</si>
  <si>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</si>
  <si>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</si>
  <si>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</si>
  <si>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</si>
  <si>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</si>
  <si>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</si>
  <si>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</si>
  <si>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</si>
  <si>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</si>
  <si>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</si>
  <si>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</si>
  <si>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</si>
  <si>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</si>
  <si>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</si>
  <si>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</si>
  <si>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</si>
  <si>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</si>
  <si>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</si>
  <si>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</si>
  <si>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</si>
  <si>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</si>
  <si>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</si>
  <si>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</si>
  <si>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</si>
  <si>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</si>
  <si>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</si>
  <si>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</si>
  <si>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</si>
  <si>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</si>
  <si>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</si>
  <si>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</si>
  <si>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</si>
  <si>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</si>
  <si>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</si>
  <si>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</si>
  <si>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</si>
  <si>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</si>
  <si>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</si>
  <si>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</si>
  <si>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</si>
  <si>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</si>
  <si>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</si>
  <si>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</si>
  <si>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</si>
  <si>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</si>
  <si>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</si>
  <si>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</si>
  <si>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</si>
  <si>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</si>
  <si>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</si>
  <si>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</si>
  <si>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</si>
  <si>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</si>
  <si>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</si>
  <si>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</si>
  <si>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</si>
  <si>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</si>
  <si>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</si>
  <si>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</si>
  <si>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</si>
  <si>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</si>
  <si>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</si>
  <si>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</si>
  <si>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</si>
  <si>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</si>
  <si>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</si>
  <si>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</si>
  <si>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</si>
  <si>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</si>
  <si>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</si>
  <si>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</si>
  <si>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</si>
  <si>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</si>
  <si>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</si>
  <si>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</si>
  <si>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</si>
  <si>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</si>
  <si>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</si>
  <si>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</si>
  <si>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</si>
  <si>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</si>
  <si>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</si>
  <si>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</si>
  <si>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</si>
  <si>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</si>
  <si>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</si>
  <si>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</si>
  <si>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</si>
  <si>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</si>
  <si>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</si>
  <si>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</si>
  <si>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</si>
  <si>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</si>
  <si>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</si>
  <si>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</si>
  <si>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</si>
  <si>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</si>
  <si>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</si>
  <si>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</si>
  <si>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</si>
  <si>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</si>
  <si>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</si>
  <si>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</si>
  <si>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</si>
  <si>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</si>
  <si>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</si>
  <si>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</si>
  <si>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</si>
  <si>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</si>
  <si>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</si>
  <si>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</si>
  <si>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</si>
  <si>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</si>
  <si>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</si>
  <si>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</si>
  <si>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</si>
  <si>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</si>
  <si>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</si>
  <si>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</si>
  <si>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</si>
  <si>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</si>
  <si>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</si>
  <si>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</si>
  <si>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</si>
  <si>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</si>
  <si>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</si>
  <si>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</si>
  <si>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</si>
  <si>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</si>
  <si>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</si>
  <si>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</si>
  <si>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</si>
  <si>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</si>
  <si>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</si>
  <si>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</si>
  <si>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</si>
  <si>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</si>
  <si>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</si>
  <si>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</si>
  <si>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</si>
  <si>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</si>
  <si>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</si>
  <si>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</si>
  <si>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</si>
  <si>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</si>
  <si>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</si>
  <si>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</si>
  <si>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</si>
  <si>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</si>
  <si>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</si>
  <si>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</si>
  <si>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</si>
  <si>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</si>
  <si>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</si>
  <si>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</si>
  <si>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</si>
  <si>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</si>
  <si>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</si>
  <si>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</si>
  <si>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</si>
  <si>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</si>
  <si>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</si>
  <si>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</si>
  <si>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</si>
  <si>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</si>
  <si>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</si>
  <si>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</si>
  <si>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</si>
  <si>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</si>
  <si>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</si>
  <si>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</si>
  <si>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</si>
  <si>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</si>
  <si>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</si>
  <si>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</si>
  <si>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</si>
  <si>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</si>
  <si>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</si>
  <si>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</si>
  <si>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</si>
  <si>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</si>
  <si>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</si>
  <si>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</si>
  <si>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</si>
  <si>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</si>
  <si>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</si>
  <si>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</si>
  <si>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</si>
  <si>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</si>
  <si>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</si>
  <si>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</si>
  <si>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</si>
  <si>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</si>
  <si>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</si>
  <si>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</si>
  <si>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</si>
  <si>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</si>
  <si>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</si>
  <si>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</si>
  <si>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</si>
  <si>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</si>
  <si>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</si>
  <si>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</si>
  <si>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</si>
  <si>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</si>
  <si>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</si>
  <si>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</si>
  <si>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</si>
  <si>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</si>
  <si>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</si>
  <si>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</si>
  <si>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</si>
  <si>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</si>
  <si>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</si>
  <si>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</si>
  <si>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</si>
  <si>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</si>
  <si>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</si>
  <si>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</si>
  <si>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</si>
  <si>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</si>
  <si>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</si>
  <si>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</si>
  <si>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</si>
  <si>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</si>
  <si>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</si>
  <si>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</si>
  <si>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</si>
  <si>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</si>
  <si>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</si>
  <si>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</si>
  <si>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</si>
  <si>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</si>
  <si>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</si>
  <si>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</si>
  <si>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</si>
  <si>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</si>
  <si>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</si>
  <si>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</si>
  <si>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</si>
  <si>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</si>
  <si>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</si>
  <si>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</si>
  <si>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</si>
  <si>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</si>
  <si>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</si>
  <si>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</si>
  <si>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</si>
  <si>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</si>
  <si>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</si>
  <si>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</si>
  <si>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</si>
  <si>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</si>
  <si>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</si>
  <si>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</si>
  <si>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</si>
  <si>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</si>
  <si>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</si>
  <si>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</si>
  <si>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</si>
  <si>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</si>
  <si>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</si>
  <si>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</si>
  <si>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</si>
  <si>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</si>
  <si>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</si>
  <si>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</si>
  <si>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</si>
  <si>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</si>
  <si>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</si>
  <si>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</si>
  <si>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</si>
  <si>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</si>
  <si>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</si>
  <si>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</si>
  <si>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</si>
  <si>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</si>
  <si>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</si>
  <si>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</si>
  <si>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</si>
  <si>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</si>
  <si>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</si>
  <si>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</si>
  <si>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</si>
  <si>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</si>
  <si>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</si>
  <si>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</si>
  <si>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</si>
  <si>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</si>
  <si>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</si>
  <si>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</si>
  <si>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</si>
  <si>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</si>
  <si>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</si>
  <si>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</si>
  <si>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</si>
  <si>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</si>
  <si>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</si>
  <si>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</si>
  <si>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</si>
  <si>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</si>
  <si>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</si>
  <si>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</si>
  <si>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</si>
  <si>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</si>
  <si>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</si>
  <si>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</si>
  <si>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</si>
  <si>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</si>
  <si>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</si>
  <si>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</si>
  <si>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</si>
  <si>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</si>
  <si>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</si>
  <si>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</si>
  <si>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</si>
  <si>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</si>
  <si>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</si>
  <si>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</si>
  <si>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</si>
  <si>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</si>
  <si>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</si>
  <si>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</si>
  <si>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</si>
  <si>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</si>
  <si>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</si>
  <si>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</si>
  <si>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</si>
  <si>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</si>
  <si>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</si>
  <si>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</si>
  <si>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</si>
  <si>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</si>
  <si>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</si>
  <si>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</si>
  <si>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</si>
  <si>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</si>
  <si>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</si>
  <si>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</si>
  <si>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</si>
  <si>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</si>
  <si>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</si>
  <si>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</si>
  <si>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</si>
  <si>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</si>
  <si>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</si>
  <si>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</si>
  <si>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</si>
  <si>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</si>
  <si>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</si>
  <si>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</si>
  <si>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</si>
  <si>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</si>
  <si>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</si>
  <si>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</si>
  <si>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</si>
  <si>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</si>
  <si>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</si>
  <si>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</si>
  <si>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</si>
  <si>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</si>
  <si>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</si>
  <si>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</si>
  <si>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</si>
  <si>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</si>
  <si>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</si>
  <si>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</si>
  <si>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</si>
  <si>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</si>
  <si>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</si>
  <si>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</si>
  <si>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</si>
  <si>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</si>
  <si>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</si>
  <si>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</si>
  <si>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</si>
  <si>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</si>
  <si>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</si>
  <si>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</si>
  <si>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</si>
  <si>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</si>
  <si>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</si>
  <si>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</si>
  <si>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</si>
  <si>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</si>
  <si>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</si>
  <si>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</si>
  <si>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</si>
  <si>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</si>
  <si>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</si>
  <si>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</si>
  <si>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</si>
  <si>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</si>
  <si>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</si>
  <si>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</si>
  <si>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</si>
  <si>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</si>
  <si>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</si>
  <si>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</si>
  <si>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</si>
  <si>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</si>
  <si>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</si>
  <si>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</si>
  <si>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</si>
  <si>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</si>
  <si>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</si>
  <si>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</si>
  <si>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</si>
  <si>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</si>
  <si>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</si>
  <si>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</si>
  <si>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</si>
  <si>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</si>
  <si>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</si>
  <si>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</si>
  <si>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</si>
  <si>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</si>
  <si>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</si>
  <si>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</si>
  <si>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</si>
  <si>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</si>
  <si>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</si>
  <si>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</si>
  <si>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</si>
  <si>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</si>
  <si>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</si>
  <si>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</si>
  <si>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</si>
  <si>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</si>
  <si>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</si>
  <si>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</si>
  <si>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</si>
  <si>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</si>
  <si>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</si>
  <si>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</si>
  <si>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</si>
  <si>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</si>
  <si>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</si>
  <si>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</si>
  <si>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</si>
  <si>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</si>
  <si>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</si>
  <si>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</si>
  <si>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</si>
  <si>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</si>
  <si>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</si>
  <si>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</si>
  <si>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</si>
  <si>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</si>
  <si>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</si>
  <si>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</si>
  <si>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</si>
  <si>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</si>
  <si>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</si>
  <si>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</si>
  <si>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</si>
  <si>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</si>
  <si>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</si>
  <si>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</si>
  <si>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</si>
  <si>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</si>
  <si>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</si>
  <si>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</si>
  <si>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</si>
  <si>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</si>
  <si>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</si>
  <si>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</si>
  <si>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</si>
  <si>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</si>
  <si>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</si>
  <si>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</si>
  <si>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</si>
  <si>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</si>
  <si>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</si>
  <si>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</si>
  <si>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</si>
  <si>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</si>
  <si>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</si>
  <si>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</si>
  <si>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</si>
  <si>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</si>
  <si>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</si>
  <si>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</si>
  <si>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</si>
  <si>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</si>
  <si>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</si>
  <si>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</si>
  <si>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</si>
  <si>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</si>
  <si>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</si>
  <si>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</si>
  <si>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</si>
  <si>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</si>
  <si>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</si>
  <si>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</si>
  <si>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</si>
  <si>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</si>
  <si>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</si>
  <si>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</si>
  <si>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</si>
  <si>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</si>
  <si>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</si>
  <si>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</si>
  <si>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</si>
  <si>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</si>
  <si>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</si>
  <si>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</si>
  <si>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</si>
  <si>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</si>
  <si>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</si>
  <si>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</si>
  <si>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</si>
  <si>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</si>
  <si>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</si>
  <si>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</si>
  <si>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</si>
  <si>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</si>
  <si>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</si>
  <si>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</si>
  <si>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</si>
  <si>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</si>
  <si>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</si>
  <si>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</si>
  <si>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</si>
  <si>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</si>
  <si>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</si>
  <si>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</si>
  <si>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</si>
  <si>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</si>
  <si>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</si>
  <si>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</si>
  <si>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</si>
  <si>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</si>
  <si>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</si>
  <si>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</si>
  <si>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</si>
  <si>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</si>
  <si>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</si>
  <si>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</si>
  <si>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</si>
  <si>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</si>
  <si>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</si>
  <si>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</si>
  <si>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</si>
  <si>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</si>
  <si>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</si>
  <si>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</si>
  <si>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</si>
  <si>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</si>
  <si>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</si>
  <si>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</si>
  <si>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</si>
  <si>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</si>
  <si>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</si>
  <si>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</si>
  <si>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</si>
  <si>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</si>
  <si>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</si>
  <si>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</si>
  <si>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</si>
  <si>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</si>
  <si>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</si>
  <si>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</si>
  <si>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</si>
  <si>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</si>
  <si>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</si>
  <si>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</si>
  <si>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</si>
  <si>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</si>
  <si>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</si>
  <si>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</si>
  <si>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</si>
  <si>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</si>
  <si>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</si>
  <si>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</si>
  <si>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</si>
  <si>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</si>
  <si>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</si>
  <si>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</si>
  <si>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</si>
  <si>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</si>
  <si>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</si>
  <si>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</si>
  <si>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</si>
  <si>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</si>
  <si>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</si>
  <si>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</si>
  <si>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</si>
  <si>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</si>
  <si>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</si>
  <si>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</si>
  <si>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</si>
  <si>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</si>
  <si>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</si>
  <si>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</si>
  <si>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</si>
  <si>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</si>
  <si>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</si>
  <si>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</si>
  <si>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</si>
  <si>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</si>
  <si>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</si>
  <si>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</si>
  <si>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</si>
  <si>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</si>
  <si>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</si>
  <si>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</si>
  <si>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</si>
  <si>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</si>
  <si>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</si>
  <si>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</si>
  <si>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</si>
  <si>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</si>
  <si>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</si>
  <si>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</si>
  <si>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</si>
  <si>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</si>
  <si>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</si>
  <si>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</si>
  <si>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</si>
  <si>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</si>
  <si>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</si>
  <si>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</si>
  <si>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</si>
  <si>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</si>
  <si>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</si>
  <si>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</si>
  <si>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</si>
  <si>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</si>
  <si>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</si>
  <si>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</si>
  <si>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</si>
  <si>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</si>
  <si>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</si>
  <si>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</si>
  <si>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</si>
  <si>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</si>
  <si>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</si>
  <si>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</si>
  <si>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2.1 Приходи и доходи от собственост </t>
  </si>
  <si>
    <t xml:space="preserve">             приходи от наеми на имущество и земя </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</si>
  <si>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</si>
  <si>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</si>
  <si>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</si>
  <si>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</si>
  <si>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</si>
  <si>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</si>
  <si>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</si>
  <si>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</si>
  <si>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</si>
  <si>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</si>
  <si>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</si>
  <si>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</si>
  <si>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</si>
  <si>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</si>
  <si>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</si>
  <si>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</si>
  <si>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</si>
  <si>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</si>
  <si>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</si>
  <si>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</si>
  <si>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</si>
  <si>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</si>
  <si>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</si>
  <si>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</si>
  <si>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</si>
  <si>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</si>
  <si>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</si>
  <si>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</si>
  <si>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</si>
  <si>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</si>
  <si>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</si>
  <si>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</si>
  <si>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</si>
  <si>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</si>
  <si>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</si>
  <si>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</si>
  <si>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</si>
  <si>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</si>
  <si>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</si>
  <si>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</si>
  <si>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</si>
  <si>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</si>
  <si>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</si>
  <si>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</si>
  <si>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</si>
  <si>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</si>
  <si>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</si>
  <si>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</si>
  <si>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</si>
  <si>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</si>
  <si>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</si>
  <si>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</si>
  <si>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</si>
  <si>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</si>
  <si>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</si>
  <si>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</si>
  <si>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</si>
  <si>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</si>
  <si>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</si>
  <si>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</si>
  <si>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</si>
  <si>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</si>
  <si>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</si>
  <si>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</si>
  <si>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</si>
  <si>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</si>
  <si>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</si>
  <si>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</si>
  <si>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</si>
  <si>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</si>
  <si>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</si>
  <si>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</si>
  <si>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</si>
  <si>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</si>
  <si>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</si>
  <si>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</si>
  <si>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</si>
  <si>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</si>
  <si>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</si>
  <si>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</si>
  <si>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</si>
  <si>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</si>
  <si>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</si>
  <si>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</si>
  <si>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</si>
  <si>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</si>
  <si>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</si>
  <si>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</si>
  <si>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</si>
  <si>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</si>
  <si>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</si>
  <si>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</si>
  <si>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</si>
  <si>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</si>
  <si>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</si>
  <si>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</si>
  <si>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</si>
  <si>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</si>
  <si>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</si>
  <si>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</si>
  <si>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</si>
  <si>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</si>
  <si>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</si>
  <si>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</si>
  <si>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</si>
  <si>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</si>
  <si>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</si>
  <si>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</si>
  <si>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</si>
  <si>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</si>
  <si>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</si>
  <si>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</si>
  <si>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</si>
  <si>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</si>
  <si>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</si>
  <si>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</si>
  <si>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</si>
  <si>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</si>
  <si>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</si>
  <si>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</si>
  <si>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</si>
  <si>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</si>
  <si>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</si>
  <si>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</si>
  <si>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</si>
  <si>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</si>
  <si>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</si>
  <si>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</si>
  <si>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</si>
  <si>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</si>
  <si>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</si>
  <si>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</si>
  <si>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</si>
  <si>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</si>
  <si>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</si>
  <si>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</si>
  <si>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</si>
  <si>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</si>
  <si>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</si>
  <si>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</si>
  <si>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</si>
  <si>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</si>
  <si>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</si>
  <si>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</si>
  <si>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</si>
  <si>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</si>
  <si>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</si>
  <si>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</si>
  <si>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</si>
  <si>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</si>
  <si>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</si>
  <si>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</si>
  <si>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</si>
  <si>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</si>
  <si>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</si>
  <si>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</si>
  <si>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</si>
  <si>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</si>
  <si>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</si>
  <si>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</si>
  <si>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</si>
  <si>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</si>
  <si>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</si>
  <si>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</si>
  <si>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</si>
  <si>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</si>
  <si>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</si>
  <si>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</si>
  <si>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</si>
  <si>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</si>
  <si>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</si>
  <si>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</si>
  <si>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</si>
  <si>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</si>
  <si>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</si>
  <si>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</si>
  <si>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</si>
  <si>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</si>
  <si>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</si>
  <si>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</si>
  <si>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</si>
  <si>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</si>
  <si>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</si>
  <si>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</si>
  <si>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</si>
  <si>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</si>
  <si>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</si>
  <si>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</si>
  <si>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</si>
  <si>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</si>
  <si>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</si>
  <si>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</si>
  <si>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</si>
  <si>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</si>
  <si>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</si>
  <si>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</si>
  <si>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</si>
  <si>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</si>
  <si>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</si>
  <si>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</si>
  <si>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</si>
  <si>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</si>
  <si>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</si>
  <si>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</si>
  <si>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</si>
  <si>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</si>
  <si>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</si>
  <si>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</si>
  <si>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</si>
  <si>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</si>
  <si>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</si>
  <si>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</si>
  <si>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</si>
  <si>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</si>
  <si>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</si>
  <si>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</si>
  <si>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</si>
  <si>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</si>
  <si>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</si>
  <si>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</si>
  <si>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</si>
  <si>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</si>
  <si>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</si>
  <si>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</si>
  <si>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</si>
  <si>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</si>
  <si>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</si>
  <si>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</si>
  <si>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</si>
  <si>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</si>
  <si>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</si>
  <si>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</si>
  <si>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</si>
  <si>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</si>
  <si>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</si>
  <si>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</si>
  <si>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</si>
  <si>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</si>
  <si>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</si>
  <si>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</si>
  <si>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</si>
  <si>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</si>
  <si>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</si>
  <si>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</si>
  <si>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</si>
  <si>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</si>
  <si>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</si>
  <si>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</si>
  <si>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</si>
  <si>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</si>
  <si>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</si>
  <si>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</si>
  <si>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</si>
  <si>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</si>
  <si>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</si>
  <si>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</si>
  <si>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</si>
  <si>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</si>
  <si>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</si>
  <si>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</si>
  <si>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</si>
  <si>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</si>
  <si>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</si>
  <si>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</si>
  <si>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</si>
  <si>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</si>
  <si>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</si>
  <si>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</si>
  <si>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</si>
  <si>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</si>
  <si>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</si>
  <si>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</si>
  <si>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</si>
  <si>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</si>
  <si>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</si>
  <si>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</si>
  <si>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</si>
  <si>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</si>
  <si>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</si>
  <si>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</si>
  <si>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</si>
  <si>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</si>
  <si>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</si>
  <si>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</si>
  <si>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</si>
  <si>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</si>
  <si>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</si>
  <si>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</si>
  <si>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</si>
  <si>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</si>
  <si>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</si>
  <si>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</si>
  <si>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</si>
  <si>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</si>
  <si>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</si>
  <si>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</si>
  <si>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</si>
  <si>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</si>
  <si>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</si>
  <si>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</si>
  <si>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</si>
  <si>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</si>
  <si>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</si>
  <si>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</si>
  <si>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</si>
  <si>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</si>
  <si>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</si>
  <si>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</si>
  <si>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</si>
  <si>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</si>
  <si>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</si>
  <si>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</si>
  <si>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</si>
  <si>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</si>
  <si>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</si>
  <si>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</si>
  <si>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</si>
  <si>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</si>
  <si>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</si>
  <si>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</si>
  <si>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</si>
  <si>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</si>
  <si>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</si>
  <si>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</si>
  <si>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</si>
  <si>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</si>
  <si>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</si>
  <si>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</si>
  <si>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</si>
  <si>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</si>
  <si>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</si>
  <si>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</si>
  <si>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</si>
  <si>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</si>
  <si>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</si>
  <si>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</si>
  <si>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</si>
  <si>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</si>
  <si>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</si>
  <si>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</si>
  <si>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</si>
  <si>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</si>
  <si>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</si>
  <si>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</si>
  <si>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</si>
  <si>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</si>
  <si>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</si>
  <si>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</si>
  <si>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</si>
  <si>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</si>
  <si>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</si>
  <si>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</si>
  <si>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</si>
  <si>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</si>
  <si>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</si>
  <si>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</si>
  <si>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</si>
  <si>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</si>
  <si>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</si>
  <si>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</si>
  <si>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</si>
  <si>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</si>
  <si>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</si>
  <si>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</si>
  <si>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</si>
  <si>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</si>
  <si>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</si>
  <si>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</si>
  <si>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</si>
  <si>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</si>
  <si>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</si>
  <si>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</si>
  <si>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</si>
  <si>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</si>
  <si>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</si>
  <si>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</si>
  <si>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</si>
  <si>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</si>
  <si>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</si>
  <si>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</si>
  <si>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</si>
  <si>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</si>
  <si>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</si>
  <si>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</si>
  <si>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</si>
  <si>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</si>
  <si>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</si>
  <si>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</si>
  <si>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</si>
  <si>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</si>
  <si>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</si>
  <si>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</si>
  <si>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</si>
  <si>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</si>
  <si>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</si>
  <si>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</si>
  <si>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</si>
  <si>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</si>
  <si>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</si>
  <si>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</si>
  <si>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</si>
  <si>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</si>
  <si>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</si>
  <si>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</si>
  <si>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</si>
  <si>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</si>
  <si>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</si>
  <si>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</si>
  <si>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</si>
  <si>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</si>
  <si>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</si>
  <si>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</si>
  <si>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</si>
  <si>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</si>
  <si>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</si>
  <si>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</si>
  <si>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</si>
  <si>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</si>
  <si>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</si>
  <si>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</si>
  <si>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</si>
  <si>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</si>
  <si>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</si>
  <si>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</si>
  <si>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</si>
  <si>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</si>
  <si>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</si>
  <si>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</si>
  <si>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</si>
  <si>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</si>
  <si>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</si>
  <si>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</si>
  <si>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</si>
  <si>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</si>
  <si>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</si>
  <si>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</si>
  <si>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</si>
  <si>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</si>
  <si>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</si>
  <si>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</si>
  <si>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</si>
  <si>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</si>
  <si>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</si>
  <si>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</si>
  <si>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</si>
  <si>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</si>
  <si>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</si>
  <si>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</si>
  <si>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</si>
  <si>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</si>
  <si>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</si>
  <si>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</si>
  <si>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</si>
  <si>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</si>
  <si>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</si>
  <si>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</si>
  <si>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</si>
  <si>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</si>
  <si>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</si>
  <si>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</si>
  <si>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</si>
  <si>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</si>
  <si>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</si>
  <si>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</si>
  <si>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</si>
  <si>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</si>
  <si>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</si>
  <si>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</si>
  <si>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</si>
  <si>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</si>
  <si>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</si>
  <si>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</si>
  <si>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</si>
  <si>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</si>
  <si>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</si>
  <si>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</si>
  <si>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</si>
  <si>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</si>
  <si>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</si>
  <si>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</si>
  <si>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</si>
  <si>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</si>
  <si>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</si>
  <si>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</si>
  <si>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</si>
  <si>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</si>
  <si>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</si>
  <si>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КОМИСИЯ ЗА РЕГУЛИРАНЕ НА СЪОБЩЕНИЯТА</t>
  </si>
  <si>
    <t>b788</t>
  </si>
  <si>
    <t>d627</t>
  </si>
  <si>
    <t>c974</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</si>
  <si>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</si>
  <si>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</si>
  <si>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</si>
  <si>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</si>
  <si>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</si>
  <si>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</si>
  <si>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</si>
  <si>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</si>
  <si>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</si>
  <si>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</si>
  <si>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</si>
  <si>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</si>
  <si>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</si>
  <si>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</si>
  <si>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</si>
  <si>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</si>
  <si>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</si>
  <si>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</si>
  <si>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</si>
  <si>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</si>
  <si>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</si>
  <si>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</si>
  <si>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</si>
  <si>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</si>
  <si>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</si>
  <si>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</si>
  <si>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</si>
  <si>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</si>
  <si>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</si>
  <si>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</si>
  <si>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</si>
  <si>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</si>
  <si>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</si>
  <si>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</si>
  <si>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</si>
  <si>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</si>
  <si>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</si>
  <si>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</si>
  <si>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</si>
  <si>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</si>
  <si>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</si>
  <si>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</si>
  <si>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</si>
  <si>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</si>
  <si>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</si>
  <si>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</si>
  <si>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</si>
  <si>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</si>
  <si>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</si>
  <si>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</si>
  <si>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</si>
  <si>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</si>
  <si>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</si>
  <si>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</si>
  <si>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</si>
  <si>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</si>
  <si>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</si>
  <si>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</si>
  <si>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</si>
  <si>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</si>
  <si>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</si>
  <si>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</si>
  <si>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</si>
  <si>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</si>
  <si>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</si>
  <si>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</si>
  <si>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</si>
  <si>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</si>
  <si>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</si>
  <si>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</si>
  <si>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</si>
  <si>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</si>
  <si>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</si>
  <si>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</si>
  <si>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</si>
  <si>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</si>
  <si>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</si>
  <si>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</si>
  <si>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</si>
  <si>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</si>
  <si>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</si>
  <si>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</si>
  <si>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</si>
  <si>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</si>
  <si>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</si>
  <si>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</si>
  <si>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</si>
  <si>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</si>
  <si>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</si>
  <si>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</si>
  <si>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</si>
  <si>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</si>
  <si>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</si>
  <si>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</si>
  <si>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</si>
  <si>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</si>
  <si>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</si>
  <si>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</si>
  <si>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</si>
  <si>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</si>
  <si>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</si>
  <si>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</si>
  <si>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</si>
  <si>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</si>
  <si>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</si>
  <si>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</si>
  <si>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</si>
  <si>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</si>
  <si>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</si>
  <si>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</si>
  <si>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</si>
  <si>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</si>
  <si>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</si>
  <si>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</si>
  <si>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</si>
  <si>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</si>
  <si>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</si>
  <si>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</si>
  <si>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</si>
  <si>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</si>
  <si>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</si>
  <si>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</si>
  <si>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</si>
  <si>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</si>
  <si>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</si>
  <si>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</si>
  <si>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</si>
  <si>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</si>
  <si>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</si>
  <si>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</si>
  <si>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</si>
  <si>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</si>
  <si>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</si>
  <si>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</si>
  <si>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</si>
  <si>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</si>
  <si>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</si>
  <si>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</si>
  <si>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</si>
  <si>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</si>
  <si>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</si>
  <si>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</si>
  <si>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</si>
  <si>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</si>
  <si>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</si>
  <si>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</si>
  <si>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</si>
  <si>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</si>
  <si>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</si>
  <si>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</si>
  <si>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</si>
  <si>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</si>
  <si>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</si>
  <si>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</si>
  <si>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</si>
  <si>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</si>
  <si>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</si>
  <si>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</si>
  <si>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</si>
  <si>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</si>
  <si>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</si>
  <si>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</si>
  <si>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</si>
  <si>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</si>
  <si>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</si>
  <si>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</si>
  <si>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</si>
  <si>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</si>
  <si>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</si>
  <si>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</si>
  <si>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</si>
  <si>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</si>
  <si>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</si>
  <si>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</si>
  <si>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</si>
  <si>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</si>
  <si>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</si>
  <si>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</si>
  <si>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</si>
  <si>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</si>
  <si>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</si>
  <si>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</si>
  <si>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</si>
  <si>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</si>
  <si>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</si>
  <si>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</si>
  <si>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</si>
  <si>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</si>
  <si>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</si>
  <si>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</si>
  <si>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</si>
  <si>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</si>
  <si>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</si>
  <si>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</si>
  <si>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</si>
  <si>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</si>
  <si>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</si>
  <si>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</si>
  <si>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</si>
  <si>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</si>
  <si>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</si>
  <si>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</si>
  <si>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</si>
  <si>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</si>
  <si>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</si>
  <si>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</si>
  <si>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</si>
  <si>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</si>
  <si>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</si>
  <si>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</si>
  <si>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</si>
  <si>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</si>
  <si>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</si>
  <si>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</si>
  <si>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</si>
  <si>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</si>
  <si>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</si>
  <si>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</si>
  <si>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</si>
  <si>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</si>
  <si>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</si>
  <si>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</si>
  <si>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</si>
  <si>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</si>
  <si>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</si>
  <si>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</si>
  <si>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</si>
  <si>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</si>
  <si>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</si>
  <si>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</si>
  <si>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</si>
  <si>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</si>
  <si>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</si>
  <si>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</si>
  <si>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</si>
  <si>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</si>
  <si>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</si>
  <si>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</si>
  <si>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</si>
  <si>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</si>
  <si>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</si>
  <si>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</si>
  <si>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</si>
  <si>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</si>
  <si>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</si>
  <si>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</si>
  <si>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</si>
  <si>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</si>
  <si>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</si>
  <si>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</si>
  <si>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</si>
  <si>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</si>
  <si>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</si>
  <si>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</si>
  <si>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</si>
  <si>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</si>
  <si>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</si>
  <si>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</si>
  <si>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</si>
  <si>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</si>
  <si>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</si>
  <si>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</si>
  <si>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</si>
  <si>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</si>
  <si>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</si>
  <si>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</si>
  <si>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</si>
  <si>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</si>
  <si>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</si>
  <si>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</si>
  <si>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</si>
  <si>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</si>
  <si>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</si>
  <si>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</si>
  <si>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</si>
  <si>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</si>
  <si>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</si>
  <si>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</si>
  <si>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</si>
  <si>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Соня Маджарова</t>
  </si>
  <si>
    <t>Росен Желязков</t>
  </si>
  <si>
    <t>02/9492713</t>
  </si>
  <si>
    <t>smadjarova@crc.bg</t>
  </si>
  <si>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</si>
  <si>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</si>
  <si>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</si>
  <si>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</si>
  <si>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</si>
  <si>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</si>
  <si>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</si>
  <si>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</si>
  <si>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</si>
  <si>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</si>
  <si>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</si>
  <si>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</si>
  <si>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</si>
  <si>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</si>
  <si>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</si>
  <si>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</si>
  <si>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</si>
  <si>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</si>
  <si>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</si>
  <si>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</si>
  <si>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</si>
  <si>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</si>
  <si>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</si>
  <si>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</si>
  <si>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</si>
  <si>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</si>
  <si>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</si>
  <si>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</si>
  <si>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</si>
  <si>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</si>
  <si>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</si>
  <si>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</si>
  <si>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</si>
  <si>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</si>
  <si>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</si>
  <si>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</si>
  <si>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</si>
  <si>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</si>
  <si>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</si>
  <si>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</si>
  <si>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</si>
  <si>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</si>
  <si>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</si>
  <si>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</si>
  <si>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</si>
  <si>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</si>
  <si>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</si>
  <si>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</si>
  <si>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</si>
  <si>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</si>
  <si>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</si>
  <si>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</si>
  <si>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</si>
  <si>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</si>
  <si>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</si>
  <si>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</si>
  <si>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</si>
  <si>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</si>
  <si>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</si>
  <si>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</si>
  <si>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</si>
  <si>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</si>
  <si>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</si>
  <si>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</si>
  <si>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</si>
  <si>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</si>
  <si>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</si>
  <si>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</si>
  <si>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</si>
  <si>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</si>
  <si>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</si>
  <si>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</si>
  <si>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</si>
  <si>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</si>
  <si>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</si>
  <si>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</si>
  <si>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</si>
  <si>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</si>
  <si>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</si>
  <si>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</si>
  <si>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</si>
  <si>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</si>
  <si>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</si>
  <si>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</si>
  <si>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</si>
  <si>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</si>
  <si>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</si>
  <si>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</si>
  <si>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</si>
  <si>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</si>
  <si>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</si>
  <si>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</si>
  <si>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</si>
  <si>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</si>
  <si>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</si>
  <si>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</si>
  <si>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</si>
  <si>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</si>
  <si>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</si>
  <si>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</si>
  <si>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</si>
  <si>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</si>
  <si>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</si>
  <si>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</si>
  <si>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</si>
  <si>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</si>
  <si>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</si>
  <si>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</si>
  <si>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</si>
  <si>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</si>
  <si>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</si>
  <si>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</si>
  <si>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</si>
  <si>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</si>
  <si>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</si>
  <si>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</si>
  <si>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</si>
  <si>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</si>
  <si>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</si>
  <si>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</si>
  <si>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</si>
  <si>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</si>
  <si>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</si>
  <si>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</si>
  <si>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</si>
  <si>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</si>
  <si>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</si>
  <si>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</si>
  <si>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</si>
  <si>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</si>
  <si>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</si>
  <si>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</si>
  <si>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</si>
  <si>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</si>
  <si>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</si>
  <si>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</si>
  <si>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</si>
  <si>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</si>
  <si>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</si>
  <si>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</si>
  <si>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</si>
  <si>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</si>
  <si>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</si>
  <si>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</si>
  <si>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</si>
  <si>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</si>
  <si>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</si>
  <si>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</si>
  <si>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</si>
  <si>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</si>
  <si>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</si>
  <si>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</si>
  <si>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</si>
  <si>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</si>
  <si>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</si>
  <si>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</si>
  <si>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</si>
  <si>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</si>
  <si>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</si>
  <si>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</si>
  <si>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</si>
  <si>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</si>
  <si>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</si>
  <si>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</si>
  <si>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</si>
  <si>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</si>
  <si>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</si>
  <si>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</si>
  <si>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</si>
  <si>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</si>
  <si>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</si>
  <si>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</si>
  <si>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</si>
  <si>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</si>
  <si>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</si>
  <si>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</si>
  <si>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</si>
  <si>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</si>
  <si>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</si>
  <si>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</si>
  <si>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</si>
  <si>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</si>
  <si>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</si>
  <si>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</si>
  <si>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</si>
  <si>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</si>
  <si>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</si>
  <si>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</si>
  <si>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</si>
  <si>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</si>
  <si>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</si>
  <si>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</si>
  <si>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</si>
  <si>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</si>
  <si>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</si>
  <si>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</si>
  <si>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</si>
  <si>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</si>
  <si>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</si>
  <si>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</si>
  <si>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</si>
  <si>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</si>
  <si>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</si>
  <si>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</si>
  <si>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</si>
  <si>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</si>
  <si>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</si>
  <si>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</si>
  <si>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</si>
  <si>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</si>
  <si>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</si>
  <si>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</si>
  <si>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</si>
  <si>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</si>
  <si>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</si>
  <si>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</si>
  <si>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</si>
  <si>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</si>
  <si>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</si>
  <si>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</si>
  <si>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</si>
  <si>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</si>
  <si>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</si>
  <si>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</si>
  <si>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</si>
  <si>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</si>
  <si>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</si>
  <si>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</si>
  <si>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</si>
  <si>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</si>
  <si>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</si>
  <si>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</si>
  <si>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</si>
  <si>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</si>
  <si>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</si>
  <si>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</si>
  <si>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</si>
  <si>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</si>
  <si>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</si>
  <si>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</si>
  <si>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</si>
  <si>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</si>
  <si>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</si>
  <si>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</si>
  <si>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</si>
  <si>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</si>
  <si>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</si>
  <si>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</si>
  <si>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</si>
  <si>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</si>
  <si>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</si>
  <si>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</si>
  <si>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</si>
  <si>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</si>
  <si>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</si>
  <si>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</si>
  <si>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</si>
  <si>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</si>
  <si>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</si>
  <si>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</si>
  <si>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</si>
  <si>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</si>
  <si>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</si>
  <si>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</si>
  <si>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</si>
  <si>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</si>
  <si>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</si>
  <si>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</si>
  <si>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</si>
  <si>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</si>
  <si>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</si>
  <si>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</si>
  <si>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</si>
  <si>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</si>
  <si>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</si>
  <si>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</si>
  <si>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</si>
  <si>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</si>
  <si>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</si>
  <si>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</si>
  <si>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</si>
  <si>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</si>
  <si>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</si>
  <si>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</si>
  <si>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</si>
  <si>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</si>
  <si>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</si>
  <si>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</si>
  <si>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</si>
  <si>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</si>
  <si>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</si>
  <si>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</si>
  <si>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</si>
  <si>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</si>
  <si>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</si>
  <si>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</si>
  <si>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</si>
  <si>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</si>
  <si>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</si>
  <si>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</si>
  <si>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</si>
  <si>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</si>
  <si>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</si>
  <si>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</si>
  <si>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</si>
  <si>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</si>
  <si>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</si>
  <si>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</si>
  <si>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</si>
  <si>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</si>
  <si>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</si>
  <si>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</si>
  <si>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</si>
  <si>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</si>
  <si>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</si>
  <si>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</si>
  <si>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</si>
  <si>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</si>
  <si>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</si>
  <si>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</si>
  <si>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</si>
  <si>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</si>
  <si>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</si>
  <si>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</si>
  <si>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</si>
  <si>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</si>
  <si>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</si>
  <si>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</si>
  <si>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</si>
  <si>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</si>
  <si>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</si>
  <si>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</si>
  <si>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</si>
  <si>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</si>
  <si>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</si>
  <si>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</si>
  <si>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</si>
  <si>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</si>
  <si>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</si>
  <si>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</si>
  <si>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</si>
  <si>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</si>
  <si>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</si>
  <si>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</si>
  <si>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</si>
  <si>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</si>
  <si>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</si>
  <si>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</si>
  <si>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</si>
  <si>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</si>
  <si>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</si>
  <si>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</si>
  <si>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</si>
  <si>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</si>
  <si>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</si>
  <si>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</si>
  <si>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</si>
  <si>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</si>
  <si>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</si>
  <si>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</si>
  <si>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</si>
  <si>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</si>
  <si>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</si>
  <si>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</si>
  <si>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</si>
  <si>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</si>
  <si>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</si>
  <si>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</si>
  <si>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</si>
  <si>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</si>
  <si>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</si>
  <si>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</si>
  <si>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</si>
  <si>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</si>
  <si>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</si>
  <si>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</si>
  <si>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</si>
  <si>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</si>
  <si>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</si>
  <si>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</si>
  <si>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</si>
  <si>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</si>
  <si>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</si>
  <si>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</si>
  <si>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</si>
  <si>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</si>
  <si>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</si>
  <si>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</si>
  <si>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</si>
  <si>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</si>
  <si>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</si>
  <si>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</si>
  <si>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</si>
  <si>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</si>
  <si>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</si>
  <si>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</si>
  <si>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</si>
  <si>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</si>
  <si>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</si>
  <si>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</si>
  <si>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</si>
  <si>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</si>
  <si>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</si>
  <si>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</si>
  <si>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</si>
  <si>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</si>
  <si>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</si>
  <si>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</si>
  <si>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</si>
  <si>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</si>
  <si>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</si>
  <si>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</si>
  <si>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</si>
  <si>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</si>
  <si>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</si>
  <si>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</si>
  <si>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</si>
  <si>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</si>
  <si>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</si>
  <si>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</si>
  <si>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</si>
  <si>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</si>
  <si>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</si>
  <si>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</si>
  <si>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</si>
  <si>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</si>
  <si>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</si>
  <si>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</si>
  <si>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</si>
  <si>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</si>
  <si>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</si>
  <si>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</si>
  <si>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</si>
  <si>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</si>
  <si>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</si>
  <si>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</si>
  <si>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Предприятие за управление на дейностите по опазване на околната среда (ПУДООС)  - ч</t>
    </r>
    <r>
      <rPr>
        <b/>
        <sz val="12"/>
        <rFont val="Times New Roman CYR"/>
        <family val="0"/>
      </rPr>
      <t>л. 60 от ЗООС</t>
    </r>
  </si>
  <si>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</si>
  <si>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</si>
  <si>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</si>
  <si>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</si>
  <si>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 xml:space="preserve"> 3. Други безвъзмездно получени средства по международни и други програми</t>
  </si>
  <si>
    <t>223 Държавна агенция "Разузнаване"</t>
  </si>
  <si>
    <t>Министерство на земеделието, храните и горите</t>
  </si>
  <si>
    <t>7900</t>
  </si>
  <si>
    <t>Министерство за Българското председателство на Съвета на Европейския съюз 2018</t>
  </si>
  <si>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</si>
  <si>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</si>
  <si>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</si>
  <si>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</si>
  <si>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</si>
  <si>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</si>
  <si>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4. Социални разходи, стипендии</t>
  </si>
  <si>
    <t>§§ 1 - 8</t>
  </si>
  <si>
    <t xml:space="preserve">5.Субсидии </t>
  </si>
  <si>
    <t>6. Придобиване на нeфинансови актииви</t>
  </si>
  <si>
    <t>7. Капиталови трансфери</t>
  </si>
  <si>
    <t xml:space="preserve">9. Прираст на държавния резерв и изкупуване на земеделска продукция </t>
  </si>
  <si>
    <t>8. Предоставени текущи и капиталови трансфери за чужбина</t>
  </si>
  <si>
    <t>§ 49</t>
  </si>
  <si>
    <t>§§ 43 - 45</t>
  </si>
  <si>
    <t>10. Резерв за непредвидини и неотложни разходи</t>
  </si>
  <si>
    <t>Годишен         уточнен план                           2018 г.</t>
  </si>
  <si>
    <t>ОТЧЕТ               2018 г.</t>
  </si>
  <si>
    <t>2233</t>
  </si>
  <si>
    <t>Селскостопанска академия</t>
  </si>
  <si>
    <t>вноски за фонд "ИЕЯС" и фонд "РАО"</t>
  </si>
  <si>
    <t>приходи от лихви по заеми, предоставени на бюджетни организации</t>
  </si>
  <si>
    <t>2234</t>
  </si>
  <si>
    <t xml:space="preserve">Код  </t>
  </si>
  <si>
    <t>Разходи в областта на електронното управление и за използваните информационни и комуникационни технологии</t>
  </si>
  <si>
    <t>i12:s186</t>
  </si>
  <si>
    <t>9 8 5 0</t>
  </si>
  <si>
    <t>9 8 5 1</t>
  </si>
  <si>
    <t>9 8 5 2</t>
  </si>
  <si>
    <r>
      <t xml:space="preserve">НАТУРАЛНИ И ДРУГИ ПОКАЗАТЕЛИ - </t>
    </r>
    <r>
      <rPr>
        <b/>
        <i/>
        <sz val="12"/>
        <color indexed="16"/>
        <rFont val="Times New Roman CYR"/>
        <family val="0"/>
      </rPr>
      <t>РЕКАПИТУЛАЦИЯ</t>
    </r>
  </si>
  <si>
    <t>Натурални и други показатели за дейността</t>
  </si>
  <si>
    <t>Текущи разходи в областта на ЕУ и за използваните ИКТ</t>
  </si>
  <si>
    <t>Капиталови разходи в областта на ЕУ и за използваните ИКТ</t>
  </si>
  <si>
    <t>Общо разходи в областта на ЕУ и за използваните ИКТ</t>
  </si>
  <si>
    <t>2381</t>
  </si>
  <si>
    <t xml:space="preserve">     в т.ч.  приходи от вноски</t>
  </si>
  <si>
    <t>приходни §§ 25-00, 26-00, 27-00, 36-08 и 36-10</t>
  </si>
  <si>
    <t>приходни §§ 36-08 и 36-10</t>
  </si>
  <si>
    <t xml:space="preserve"> 2. Приходи от такси и вноски</t>
  </si>
  <si>
    <t>приходни §§ 36-01, 36-05 и 36-19</t>
  </si>
  <si>
    <t>финансиращ § 96-00</t>
  </si>
  <si>
    <t xml:space="preserve">     в т.ч. изменение на средства по сметки, включени в единната сметка</t>
  </si>
  <si>
    <t>НК "Железопътна инфраструктура"</t>
  </si>
  <si>
    <t>I. ПРИХОДИ, ПОМОЩИ И ДАРЕНИЯ</t>
  </si>
  <si>
    <t>Уточнен план 2018</t>
  </si>
  <si>
    <t>2.2 Приходи от такси</t>
  </si>
  <si>
    <t>Бланка версия 2.01 от 2018г.</t>
  </si>
  <si>
    <t>Комисия за противодействие на корупцията и за отнемане на незаконно придобитото имущество</t>
  </si>
  <si>
    <t>Държавно предприятие „Научно-производствен център“</t>
  </si>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</sst>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_-;\-* #,##0\ _л_в_._-;_-* &quot;-&quot;\ _л_в_._-;_-@_-"/>
    <numFmt numFmtId="178" formatCode="_-* #,##0.00\ &quot;лв.&quot;_-;\-* #,##0.00\ &quot;лв.&quot;_-;_-* &quot;-&quot;??\ &quot;лв.&quot;_-;_-@_-"/>
    <numFmt numFmtId="179" formatCode="_-* #,##0.00\ _л_в_._-;\-* #,##0.00\ _л_в_._-;_-* &quot;-&quot;??\ _л_в_._-;_-@_-"/>
    <numFmt numFmtId="180" formatCode="_-* #,##0\ &quot;ëâ&quot;_-;\-* #,##0\ &quot;ëâ&quot;_-;_-* &quot;-&quot;\ &quot;ëâ&quot;_-;_-@_-"/>
    <numFmt numFmtId="181" formatCode="_-* #,##0\ _ë_â_-;\-* #,##0\ _ë_â_-;_-* &quot;-&quot;\ _ë_â_-;_-@_-"/>
    <numFmt numFmtId="182" formatCode="_-* #,##0.00\ &quot;ëâ&quot;_-;\-* #,##0.00\ &quot;ëâ&quot;_-;_-* &quot;-&quot;??\ &quot;ëâ&quot;_-;_-@_-"/>
    <numFmt numFmtId="183" formatCode="_-* #,##0.00\ _ë_â_-;\-* #,##0.00\ _ë_â_-;_-* &quot;-&quot;??\ _ë_â_-;_-@_-"/>
    <numFmt numFmtId="184" formatCode="0.0"/>
    <numFmt numFmtId="185" formatCode="dd\.m\.yyyy\ &quot;г.&quot;;@"/>
    <numFmt numFmtId="186" formatCode="000"/>
    <numFmt numFmtId="187" formatCode="0#&quot;-&quot;0#"/>
    <numFmt numFmtId="188" formatCode="0000"/>
    <numFmt numFmtId="189" formatCode="00&quot;-&quot;0#"/>
    <numFmt numFmtId="190" formatCode="0&quot; &quot;#&quot; &quot;#"/>
    <numFmt numFmtId="191" formatCode="00"/>
    <numFmt numFmtId="192" formatCode="0&quot; &quot;0&quot; &quot;0&quot; &quot;0"/>
    <numFmt numFmtId="193" formatCode="&quot;x&quot;"/>
    <numFmt numFmtId="194" formatCode="#,##0\ &quot;лв.&quot;;[Red]\(#,##0\)"/>
    <numFmt numFmtId="195" formatCode="#,##0;[Red]\(#,##0\)"/>
    <numFmt numFmtId="196" formatCode="#,##0;\(#,##0\)"/>
    <numFmt numFmtId="197" formatCode="[$-402]dd\ mmmm\ yyyy\ &quot;г.&quot;"/>
    <numFmt numFmtId="198" formatCode="&quot;II. ОБЩО РАЗХОДИ ЗА ДЕЙНОСТ &quot;0&quot;&quot;0&quot;&quot;0&quot;&quot;0"/>
    <numFmt numFmtId="199" formatCode="00&quot;.&quot;00&quot;.&quot;0000&quot; г.&quot;"/>
    <numFmt numFmtId="200" formatCode="00000"/>
    <numFmt numFmtId="201" formatCode="&quot;БЮДЖЕТ Годишен         уточнен план &quot;0000&quot; г.&quot;"/>
    <numFmt numFmtId="202" formatCode="&quot;за &quot;0000&quot; г.&quot;"/>
    <numFmt numFmtId="203" formatCode="&quot;към &quot;00&quot;.&quot;00&quot;.&quot;0000&quot; г.&quot;"/>
    <numFmt numFmtId="204" formatCode="0000&quot; &quot;0000&quot; &quot;0000&quot; &quot;0000"/>
    <numFmt numFmtId="205" formatCode="0000&quot; &quot;0000&quot; &quot;0000"/>
    <numFmt numFmtId="206" formatCode="0000&quot; &quot;0000"/>
    <numFmt numFmtId="207" formatCode="&quot;МАКЕТ ЗА &quot;0000&quot; г.&quot;"/>
    <numFmt numFmtId="208" formatCode="#,##0&quot; &quot;;[Red]\(#,##0\)"/>
    <numFmt numFmtId="209" formatCode="000&quot; &quot;000&quot; &quot;000"/>
    <numFmt numFmtId="210" formatCode="&quot;Yes&quot;;&quot;Yes&quot;;&quot;No&quot;"/>
    <numFmt numFmtId="211" formatCode="&quot;True&quot;;&quot;True&quot;;&quot;False&quot;"/>
    <numFmt numFmtId="212" formatCode="&quot;On&quot;;&quot;On&quot;;&quot;Off&quot;"/>
    <numFmt numFmtId="213" formatCode="[$€-2]\ #,##0.00_);[Red]\([$€-2]\ #,##0.00\)"/>
  </numFmts>
  <fonts count="255">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sz val="12"/>
      <name val="Times New Roman Cyr"/>
      <family val="0"/>
    </font>
    <font>
      <i/>
      <sz val="12"/>
      <name val="Times New Roman Cyr"/>
      <family val="1"/>
    </font>
    <font>
      <b/>
      <i/>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sz val="11"/>
      <name val="Times New Roman CYR"/>
      <family val="1"/>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u val="single"/>
      <sz val="10"/>
      <color indexed="12"/>
      <name val="Hebar"/>
      <family val="0"/>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4"/>
      <color indexed="18"/>
      <name val="Times New Roman bold"/>
      <family val="0"/>
    </font>
    <font>
      <sz val="11"/>
      <color indexed="8"/>
      <name val="Arial"/>
      <family val="2"/>
    </font>
    <font>
      <i/>
      <sz val="12"/>
      <color indexed="9"/>
      <name val="Times New Roman CYR"/>
      <family val="0"/>
    </font>
    <font>
      <b/>
      <sz val="10"/>
      <color indexed="9"/>
      <name val="Times New Roman CYR"/>
      <family val="1"/>
    </font>
    <font>
      <sz val="12"/>
      <color indexed="47"/>
      <name val="Times New Roman CYR"/>
      <family val="1"/>
    </font>
    <font>
      <b/>
      <sz val="12"/>
      <color indexed="47"/>
      <name val="Times New Roman CYR"/>
      <family val="1"/>
    </font>
    <font>
      <b/>
      <sz val="9"/>
      <color indexed="18"/>
      <name val="Times New Roman"/>
      <family val="1"/>
    </font>
    <font>
      <b/>
      <sz val="12"/>
      <color indexed="13"/>
      <name val="Times New Roman"/>
      <family val="1"/>
    </font>
    <font>
      <i/>
      <sz val="12"/>
      <color indexed="16"/>
      <name val="Times New Roman CYR"/>
      <family val="0"/>
    </font>
    <font>
      <b/>
      <sz val="12"/>
      <color indexed="60"/>
      <name val="Arial"/>
      <family val="2"/>
    </font>
    <font>
      <sz val="12"/>
      <color indexed="60"/>
      <name val="Arial"/>
      <family val="2"/>
    </font>
    <font>
      <sz val="12"/>
      <color indexed="20"/>
      <name val="Arial"/>
      <family val="2"/>
    </font>
    <font>
      <b/>
      <sz val="12"/>
      <color indexed="1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ba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bar"/>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Hebar"/>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20"/>
        <bgColor indexed="64"/>
      </patternFill>
    </fill>
    <fill>
      <patternFill patternType="solid">
        <fgColor indexed="18"/>
        <bgColor indexed="64"/>
      </patternFill>
    </fill>
    <fill>
      <patternFill patternType="solid">
        <fgColor indexed="16"/>
        <bgColor indexed="64"/>
      </patternFill>
    </fill>
    <fill>
      <patternFill patternType="solid">
        <fgColor indexed="49"/>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s>
  <borders count="2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medium"/>
      <right style="medium"/>
      <top style="double"/>
      <bottom>
        <color indexed="63"/>
      </botto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thin"/>
      <top style="thin"/>
      <bottom style="dashed"/>
    </border>
    <border>
      <left style="thin"/>
      <right style="thin"/>
      <top style="thin"/>
      <bottom style="dashed"/>
    </border>
    <border>
      <left style="thin"/>
      <right style="medium"/>
      <top style="thin"/>
      <bottom style="dashed"/>
    </border>
    <border>
      <left style="thin"/>
      <right>
        <color indexed="63"/>
      </right>
      <top style="thin"/>
      <bottom style="dashed"/>
    </border>
    <border>
      <left style="thin"/>
      <right>
        <color indexed="63"/>
      </right>
      <top style="dashed"/>
      <bottom style="dashed"/>
    </border>
    <border>
      <left style="thin"/>
      <right>
        <color indexed="63"/>
      </right>
      <top style="dashed"/>
      <bottom style="thin"/>
    </border>
    <border>
      <left>
        <color indexed="63"/>
      </left>
      <right style="thin"/>
      <top style="thin"/>
      <bottom style="dashed"/>
    </border>
    <border>
      <left>
        <color indexed="63"/>
      </left>
      <right style="thin"/>
      <top style="dashed"/>
      <bottom style="dashed"/>
    </border>
    <border>
      <left>
        <color indexed="63"/>
      </left>
      <right style="thin"/>
      <top style="dashed"/>
      <bottom style="thin"/>
    </border>
    <border>
      <left style="medium"/>
      <right style="medium"/>
      <top style="thin"/>
      <bottom style="dashed"/>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3" fillId="2" borderId="0" applyNumberFormat="0" applyBorder="0" applyAlignment="0" applyProtection="0"/>
    <xf numFmtId="0" fontId="233" fillId="3" borderId="0" applyNumberFormat="0" applyBorder="0" applyAlignment="0" applyProtection="0"/>
    <xf numFmtId="0" fontId="233" fillId="4" borderId="0" applyNumberFormat="0" applyBorder="0" applyAlignment="0" applyProtection="0"/>
    <xf numFmtId="0" fontId="233" fillId="5" borderId="0" applyNumberFormat="0" applyBorder="0" applyAlignment="0" applyProtection="0"/>
    <xf numFmtId="0" fontId="233" fillId="6" borderId="0" applyNumberFormat="0" applyBorder="0" applyAlignment="0" applyProtection="0"/>
    <xf numFmtId="0" fontId="233" fillId="7" borderId="0" applyNumberFormat="0" applyBorder="0" applyAlignment="0" applyProtection="0"/>
    <xf numFmtId="0" fontId="233" fillId="8" borderId="0" applyNumberFormat="0" applyBorder="0" applyAlignment="0" applyProtection="0"/>
    <xf numFmtId="0" fontId="233" fillId="9" borderId="0" applyNumberFormat="0" applyBorder="0" applyAlignment="0" applyProtection="0"/>
    <xf numFmtId="0" fontId="233" fillId="10" borderId="0" applyNumberFormat="0" applyBorder="0" applyAlignment="0" applyProtection="0"/>
    <xf numFmtId="0" fontId="233" fillId="11" borderId="0" applyNumberFormat="0" applyBorder="0" applyAlignment="0" applyProtection="0"/>
    <xf numFmtId="0" fontId="233" fillId="12" borderId="0" applyNumberFormat="0" applyBorder="0" applyAlignment="0" applyProtection="0"/>
    <xf numFmtId="0" fontId="233" fillId="13" borderId="0" applyNumberFormat="0" applyBorder="0" applyAlignment="0" applyProtection="0"/>
    <xf numFmtId="0" fontId="234" fillId="14" borderId="0" applyNumberFormat="0" applyBorder="0" applyAlignment="0" applyProtection="0"/>
    <xf numFmtId="0" fontId="234" fillId="15" borderId="0" applyNumberFormat="0" applyBorder="0" applyAlignment="0" applyProtection="0"/>
    <xf numFmtId="0" fontId="234" fillId="16" borderId="0" applyNumberFormat="0" applyBorder="0" applyAlignment="0" applyProtection="0"/>
    <xf numFmtId="0" fontId="234" fillId="17" borderId="0" applyNumberFormat="0" applyBorder="0" applyAlignment="0" applyProtection="0"/>
    <xf numFmtId="0" fontId="234" fillId="18" borderId="0" applyNumberFormat="0" applyBorder="0" applyAlignment="0" applyProtection="0"/>
    <xf numFmtId="0" fontId="234" fillId="19" borderId="0" applyNumberFormat="0" applyBorder="0" applyAlignment="0" applyProtection="0"/>
    <xf numFmtId="0" fontId="234" fillId="20" borderId="0" applyNumberFormat="0" applyBorder="0" applyAlignment="0" applyProtection="0"/>
    <xf numFmtId="0" fontId="234" fillId="21" borderId="0" applyNumberFormat="0" applyBorder="0" applyAlignment="0" applyProtection="0"/>
    <xf numFmtId="0" fontId="234" fillId="22" borderId="0" applyNumberFormat="0" applyBorder="0" applyAlignment="0" applyProtection="0"/>
    <xf numFmtId="0" fontId="234" fillId="23" borderId="0" applyNumberFormat="0" applyBorder="0" applyAlignment="0" applyProtection="0"/>
    <xf numFmtId="0" fontId="234" fillId="24" borderId="0" applyNumberFormat="0" applyBorder="0" applyAlignment="0" applyProtection="0"/>
    <xf numFmtId="0" fontId="234" fillId="25" borderId="0" applyNumberFormat="0" applyBorder="0" applyAlignment="0" applyProtection="0"/>
    <xf numFmtId="0" fontId="235" fillId="26" borderId="0" applyNumberFormat="0" applyBorder="0" applyAlignment="0" applyProtection="0"/>
    <xf numFmtId="0" fontId="236" fillId="27" borderId="1" applyNumberFormat="0" applyAlignment="0" applyProtection="0"/>
    <xf numFmtId="0" fontId="237"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38" fillId="0" borderId="0" applyNumberFormat="0" applyFill="0" applyBorder="0" applyAlignment="0" applyProtection="0"/>
    <xf numFmtId="0" fontId="239" fillId="0" borderId="0" applyNumberFormat="0" applyFill="0" applyBorder="0" applyAlignment="0" applyProtection="0"/>
    <xf numFmtId="0" fontId="240" fillId="29" borderId="0" applyNumberFormat="0" applyBorder="0" applyAlignment="0" applyProtection="0"/>
    <xf numFmtId="0" fontId="241" fillId="0" borderId="3" applyNumberFormat="0" applyFill="0" applyAlignment="0" applyProtection="0"/>
    <xf numFmtId="0" fontId="242" fillId="0" borderId="4" applyNumberFormat="0" applyFill="0" applyAlignment="0" applyProtection="0"/>
    <xf numFmtId="0" fontId="243" fillId="0" borderId="5" applyNumberFormat="0" applyFill="0" applyAlignment="0" applyProtection="0"/>
    <xf numFmtId="0" fontId="243" fillId="0" borderId="0" applyNumberFormat="0" applyFill="0" applyBorder="0" applyAlignment="0" applyProtection="0"/>
    <xf numFmtId="0" fontId="244" fillId="0" borderId="0" applyNumberFormat="0" applyFill="0" applyBorder="0" applyAlignment="0" applyProtection="0"/>
    <xf numFmtId="0" fontId="245" fillId="0" borderId="0" applyNumberFormat="0" applyFill="0" applyBorder="0" applyAlignment="0" applyProtection="0"/>
    <xf numFmtId="0" fontId="246" fillId="30" borderId="1" applyNumberFormat="0" applyAlignment="0" applyProtection="0"/>
    <xf numFmtId="0" fontId="247" fillId="0" borderId="6" applyNumberFormat="0" applyFill="0" applyAlignment="0" applyProtection="0"/>
    <xf numFmtId="0" fontId="248" fillId="31" borderId="0" applyNumberFormat="0" applyBorder="0" applyAlignment="0" applyProtection="0"/>
    <xf numFmtId="0" fontId="23" fillId="0" borderId="0">
      <alignment/>
      <protection/>
    </xf>
    <xf numFmtId="0" fontId="23" fillId="0" borderId="0">
      <alignment/>
      <protection/>
    </xf>
    <xf numFmtId="0" fontId="249" fillId="0" borderId="0">
      <alignment/>
      <protection/>
    </xf>
    <xf numFmtId="0" fontId="233" fillId="0" borderId="0">
      <alignment/>
      <protection/>
    </xf>
    <xf numFmtId="0" fontId="23" fillId="0" borderId="0">
      <alignment/>
      <protection/>
    </xf>
    <xf numFmtId="0" fontId="23" fillId="0" borderId="0">
      <alignment/>
      <protection/>
    </xf>
    <xf numFmtId="0" fontId="23"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23" fillId="0" borderId="0">
      <alignment/>
      <protection/>
    </xf>
    <xf numFmtId="0" fontId="23" fillId="0" borderId="0">
      <alignment/>
      <protection/>
    </xf>
    <xf numFmtId="0" fontId="23" fillId="0" borderId="0">
      <alignment/>
      <protection/>
    </xf>
    <xf numFmtId="0" fontId="0" fillId="32" borderId="7" applyNumberFormat="0" applyFont="0" applyAlignment="0" applyProtection="0"/>
    <xf numFmtId="0" fontId="250" fillId="27" borderId="8" applyNumberFormat="0" applyAlignment="0" applyProtection="0"/>
    <xf numFmtId="9" fontId="0" fillId="0" borderId="0" applyFont="0" applyFill="0" applyBorder="0" applyAlignment="0" applyProtection="0"/>
    <xf numFmtId="0" fontId="251" fillId="0" borderId="0" applyNumberFormat="0" applyFill="0" applyBorder="0" applyAlignment="0" applyProtection="0"/>
    <xf numFmtId="0" fontId="252" fillId="0" borderId="9" applyNumberFormat="0" applyFill="0" applyAlignment="0" applyProtection="0"/>
    <xf numFmtId="0" fontId="253" fillId="0" borderId="0" applyNumberFormat="0" applyFill="0" applyBorder="0" applyAlignment="0" applyProtection="0"/>
  </cellStyleXfs>
  <cellXfs count="2283">
    <xf numFmtId="0" fontId="0" fillId="0" borderId="0" xfId="0" applyAlignment="1">
      <alignment/>
    </xf>
    <xf numFmtId="0" fontId="6" fillId="0" borderId="0" xfId="58" applyFont="1" applyAlignment="1">
      <alignment vertical="center"/>
      <protection/>
    </xf>
    <xf numFmtId="0" fontId="6" fillId="0" borderId="0" xfId="58" applyFont="1" applyAlignment="1">
      <alignment vertical="center" wrapText="1"/>
      <protection/>
    </xf>
    <xf numFmtId="1" fontId="24" fillId="33" borderId="0" xfId="58" applyNumberFormat="1" applyFont="1" applyFill="1" applyAlignment="1">
      <alignment vertical="center"/>
      <protection/>
    </xf>
    <xf numFmtId="0" fontId="6" fillId="33" borderId="0" xfId="58" applyFont="1" applyFill="1" applyAlignment="1">
      <alignment vertical="center"/>
      <protection/>
    </xf>
    <xf numFmtId="0" fontId="6" fillId="0" borderId="0" xfId="58" applyFont="1" applyBorder="1" applyAlignment="1">
      <alignment vertical="center"/>
      <protection/>
    </xf>
    <xf numFmtId="0" fontId="6" fillId="0" borderId="0" xfId="58" applyFont="1" applyAlignment="1" quotePrefix="1">
      <alignment vertical="center"/>
      <protection/>
    </xf>
    <xf numFmtId="0" fontId="6" fillId="34" borderId="0" xfId="58" applyFont="1" applyFill="1" applyAlignment="1">
      <alignment vertical="center"/>
      <protection/>
    </xf>
    <xf numFmtId="0" fontId="13" fillId="0" borderId="0" xfId="58" applyNumberFormat="1" applyFont="1" applyAlignment="1">
      <alignment horizontal="right"/>
      <protection/>
    </xf>
    <xf numFmtId="0" fontId="6" fillId="0" borderId="0" xfId="58" applyNumberFormat="1" applyFont="1" applyAlignment="1">
      <alignment horizontal="right"/>
      <protection/>
    </xf>
    <xf numFmtId="0" fontId="6" fillId="34" borderId="0" xfId="58" applyNumberFormat="1" applyFont="1" applyFill="1" applyAlignment="1">
      <alignment horizontal="right"/>
      <protection/>
    </xf>
    <xf numFmtId="0" fontId="6" fillId="0" borderId="0" xfId="58" applyNumberFormat="1" applyFont="1" applyFill="1" applyAlignment="1">
      <alignment horizontal="right"/>
      <protection/>
    </xf>
    <xf numFmtId="0" fontId="13" fillId="0" borderId="0" xfId="66" applyNumberFormat="1" applyFont="1" applyFill="1" applyAlignment="1">
      <alignment horizontal="right"/>
      <protection/>
    </xf>
    <xf numFmtId="0" fontId="6" fillId="0" borderId="0" xfId="66" applyNumberFormat="1" applyFont="1" applyFill="1" applyAlignment="1">
      <alignment horizontal="right"/>
      <protection/>
    </xf>
    <xf numFmtId="0" fontId="6" fillId="0" borderId="0" xfId="58" applyNumberFormat="1" applyFont="1" applyBorder="1" applyAlignment="1">
      <alignment horizontal="right"/>
      <protection/>
    </xf>
    <xf numFmtId="3" fontId="6" fillId="0" borderId="0" xfId="58" applyNumberFormat="1" applyFont="1" applyAlignment="1" applyProtection="1">
      <alignment horizontal="right" vertical="center"/>
      <protection/>
    </xf>
    <xf numFmtId="3" fontId="25" fillId="0" borderId="10" xfId="58" applyNumberFormat="1" applyFont="1" applyFill="1" applyBorder="1" applyAlignment="1" quotePrefix="1">
      <alignment horizontal="center" vertical="center"/>
      <protection/>
    </xf>
    <xf numFmtId="0" fontId="13" fillId="0" borderId="0" xfId="58" applyNumberFormat="1" applyFont="1" applyBorder="1" applyAlignment="1">
      <alignment horizontal="right"/>
      <protection/>
    </xf>
    <xf numFmtId="0" fontId="13" fillId="34" borderId="0" xfId="58" applyNumberFormat="1" applyFont="1" applyFill="1" applyAlignment="1">
      <alignment horizontal="right"/>
      <protection/>
    </xf>
    <xf numFmtId="0" fontId="6" fillId="0" borderId="0" xfId="58" applyNumberFormat="1" applyFont="1" applyFill="1" applyBorder="1" applyAlignment="1">
      <alignment horizontal="right"/>
      <protection/>
    </xf>
    <xf numFmtId="0" fontId="6" fillId="0" borderId="11" xfId="58" applyFont="1" applyBorder="1" applyAlignment="1">
      <alignment vertical="center" wrapText="1"/>
      <protection/>
    </xf>
    <xf numFmtId="3" fontId="6" fillId="0" borderId="11" xfId="58" applyNumberFormat="1" applyFont="1" applyBorder="1" applyAlignment="1">
      <alignment horizontal="right" vertical="center"/>
      <protection/>
    </xf>
    <xf numFmtId="3" fontId="6" fillId="0" borderId="12" xfId="58" applyNumberFormat="1" applyFont="1" applyBorder="1" applyAlignment="1">
      <alignment horizontal="right" vertical="center"/>
      <protection/>
    </xf>
    <xf numFmtId="0" fontId="6" fillId="0" borderId="13" xfId="58" applyFont="1" applyBorder="1" applyAlignment="1">
      <alignment vertical="center" wrapText="1"/>
      <protection/>
    </xf>
    <xf numFmtId="0" fontId="6" fillId="34" borderId="0" xfId="58" applyNumberFormat="1" applyFont="1" applyFill="1" applyBorder="1" applyAlignment="1">
      <alignment horizontal="right"/>
      <protection/>
    </xf>
    <xf numFmtId="0" fontId="6" fillId="35" borderId="0" xfId="58" applyNumberFormat="1" applyFont="1" applyFill="1" applyBorder="1" applyAlignment="1">
      <alignment horizontal="right"/>
      <protection/>
    </xf>
    <xf numFmtId="0" fontId="10" fillId="34" borderId="0" xfId="66" applyFont="1" applyFill="1" applyBorder="1" applyAlignment="1">
      <alignment horizontal="right"/>
      <protection/>
    </xf>
    <xf numFmtId="0" fontId="6" fillId="0" borderId="0" xfId="66" applyNumberFormat="1" applyFont="1" applyFill="1" applyBorder="1" applyAlignment="1">
      <alignment horizontal="right"/>
      <protection/>
    </xf>
    <xf numFmtId="0" fontId="6" fillId="36" borderId="0" xfId="58" applyFont="1" applyFill="1" applyAlignment="1" applyProtection="1">
      <alignment vertical="center"/>
      <protection/>
    </xf>
    <xf numFmtId="0" fontId="26" fillId="0" borderId="0" xfId="58" applyFont="1">
      <alignment/>
      <protection/>
    </xf>
    <xf numFmtId="0" fontId="26" fillId="0" borderId="0" xfId="58" applyFont="1" applyAlignment="1">
      <alignment/>
      <protection/>
    </xf>
    <xf numFmtId="0" fontId="26" fillId="0" borderId="0" xfId="58" applyFont="1" applyAlignment="1">
      <alignment wrapText="1"/>
      <protection/>
    </xf>
    <xf numFmtId="3" fontId="26" fillId="0" borderId="0" xfId="58" applyNumberFormat="1" applyFont="1" applyAlignment="1">
      <alignment/>
      <protection/>
    </xf>
    <xf numFmtId="0" fontId="23" fillId="0" borderId="0" xfId="58">
      <alignment/>
      <protection/>
    </xf>
    <xf numFmtId="0" fontId="9" fillId="0" borderId="0" xfId="58" applyFont="1" applyAlignment="1">
      <alignment/>
      <protection/>
    </xf>
    <xf numFmtId="0" fontId="26" fillId="37" borderId="0" xfId="58" applyFont="1" applyFill="1">
      <alignment/>
      <protection/>
    </xf>
    <xf numFmtId="188" fontId="26" fillId="0" borderId="0" xfId="58" applyNumberFormat="1" applyFont="1">
      <alignment/>
      <protection/>
    </xf>
    <xf numFmtId="0" fontId="26" fillId="37" borderId="0" xfId="58" applyFont="1" applyFill="1" applyBorder="1">
      <alignment/>
      <protection/>
    </xf>
    <xf numFmtId="3" fontId="20" fillId="37" borderId="0" xfId="58" applyNumberFormat="1" applyFont="1" applyFill="1" applyBorder="1" applyAlignment="1">
      <alignment horizontal="right"/>
      <protection/>
    </xf>
    <xf numFmtId="0" fontId="23" fillId="37" borderId="0" xfId="58" applyFill="1" applyBorder="1">
      <alignment/>
      <protection/>
    </xf>
    <xf numFmtId="0" fontId="26" fillId="0" borderId="0" xfId="58" applyFont="1" applyFill="1">
      <alignment/>
      <protection/>
    </xf>
    <xf numFmtId="0" fontId="20" fillId="0" borderId="0" xfId="58" applyFont="1" applyBorder="1" applyAlignment="1">
      <alignment vertical="center"/>
      <protection/>
    </xf>
    <xf numFmtId="3" fontId="6" fillId="0" borderId="14" xfId="58" applyNumberFormat="1" applyFont="1" applyBorder="1" applyAlignment="1">
      <alignment horizontal="right" vertical="center"/>
      <protection/>
    </xf>
    <xf numFmtId="0" fontId="31" fillId="0" borderId="0" xfId="59" applyFont="1" applyAlignment="1">
      <alignment vertical="center"/>
      <protection/>
    </xf>
    <xf numFmtId="0" fontId="32" fillId="0" borderId="0" xfId="59" applyFont="1" applyAlignment="1">
      <alignment vertical="center"/>
      <protection/>
    </xf>
    <xf numFmtId="0" fontId="32" fillId="0" borderId="0" xfId="59" applyFont="1" applyAlignment="1">
      <alignment vertical="center" wrapText="1"/>
      <protection/>
    </xf>
    <xf numFmtId="1" fontId="33" fillId="0" borderId="0" xfId="59" applyNumberFormat="1" applyFont="1" applyAlignment="1">
      <alignment vertical="center"/>
      <protection/>
    </xf>
    <xf numFmtId="0" fontId="34" fillId="0" borderId="0" xfId="59" applyFont="1" applyProtection="1">
      <alignment/>
      <protection locked="0"/>
    </xf>
    <xf numFmtId="0" fontId="32" fillId="0" borderId="0" xfId="59" applyFont="1" applyAlignment="1" applyProtection="1">
      <alignment vertical="center"/>
      <protection locked="0"/>
    </xf>
    <xf numFmtId="0" fontId="32" fillId="0" borderId="0" xfId="59" applyFont="1" applyBorder="1" applyAlignment="1">
      <alignment vertical="center"/>
      <protection/>
    </xf>
    <xf numFmtId="0" fontId="32" fillId="0" borderId="0" xfId="59" applyFont="1" applyBorder="1" applyAlignment="1">
      <alignment vertical="center" wrapText="1"/>
      <protection/>
    </xf>
    <xf numFmtId="0" fontId="32" fillId="0" borderId="0" xfId="59" applyFont="1" applyAlignment="1">
      <alignment horizontal="center" vertical="center"/>
      <protection/>
    </xf>
    <xf numFmtId="14" fontId="32" fillId="38" borderId="0" xfId="59" applyNumberFormat="1" applyFont="1" applyFill="1" applyAlignment="1" applyProtection="1" quotePrefix="1">
      <alignment horizontal="center" vertical="center"/>
      <protection locked="0"/>
    </xf>
    <xf numFmtId="14" fontId="32" fillId="38" borderId="0" xfId="59" applyNumberFormat="1" applyFont="1" applyFill="1" applyAlignment="1" applyProtection="1">
      <alignment horizontal="center" vertical="center"/>
      <protection locked="0"/>
    </xf>
    <xf numFmtId="0" fontId="32" fillId="0" borderId="0" xfId="59" applyFont="1" applyAlignment="1" quotePrefix="1">
      <alignment vertical="center"/>
      <protection/>
    </xf>
    <xf numFmtId="49" fontId="32" fillId="38" borderId="10" xfId="59" applyNumberFormat="1" applyFont="1" applyFill="1" applyBorder="1" applyAlignment="1" applyProtection="1">
      <alignment horizontal="center" vertical="center"/>
      <protection locked="0"/>
    </xf>
    <xf numFmtId="49" fontId="38" fillId="38" borderId="15" xfId="59" applyNumberFormat="1" applyFont="1" applyFill="1" applyBorder="1" applyAlignment="1" applyProtection="1">
      <alignment horizontal="center" vertical="center"/>
      <protection locked="0"/>
    </xf>
    <xf numFmtId="0" fontId="32" fillId="0" borderId="0" xfId="59" applyFont="1" applyAlignment="1" quotePrefix="1">
      <alignment horizontal="center" vertical="center"/>
      <protection/>
    </xf>
    <xf numFmtId="186" fontId="32" fillId="0" borderId="0" xfId="59" applyNumberFormat="1" applyFont="1" applyAlignment="1">
      <alignment vertical="center"/>
      <protection/>
    </xf>
    <xf numFmtId="0" fontId="31" fillId="0" borderId="0" xfId="59" applyFont="1" applyBorder="1" applyAlignment="1">
      <alignment vertical="center"/>
      <protection/>
    </xf>
    <xf numFmtId="0" fontId="39" fillId="0" borderId="11" xfId="66" applyFont="1" applyFill="1" applyBorder="1" applyAlignment="1">
      <alignment horizontal="left" vertical="center" wrapText="1"/>
      <protection/>
    </xf>
    <xf numFmtId="0" fontId="32" fillId="0" borderId="16" xfId="59" applyFont="1" applyBorder="1" applyAlignment="1">
      <alignment horizontal="center" vertical="center"/>
      <protection/>
    </xf>
    <xf numFmtId="0" fontId="32" fillId="0" borderId="17" xfId="59" applyFont="1" applyBorder="1" applyAlignment="1">
      <alignment horizontal="center" vertical="center"/>
      <protection/>
    </xf>
    <xf numFmtId="0" fontId="32" fillId="0" borderId="18" xfId="59" applyFont="1" applyBorder="1" applyAlignment="1">
      <alignment horizontal="center" vertical="center"/>
      <protection/>
    </xf>
    <xf numFmtId="0" fontId="41" fillId="0" borderId="11" xfId="59" applyFont="1" applyBorder="1" applyAlignment="1">
      <alignment vertical="center"/>
      <protection/>
    </xf>
    <xf numFmtId="0" fontId="32" fillId="0" borderId="12" xfId="59" applyFont="1" applyBorder="1" applyAlignment="1">
      <alignment horizontal="center" vertical="center"/>
      <protection/>
    </xf>
    <xf numFmtId="0" fontId="42" fillId="0" borderId="0" xfId="59" applyFont="1" applyAlignment="1">
      <alignment vertical="center"/>
      <protection/>
    </xf>
    <xf numFmtId="187" fontId="43" fillId="38" borderId="19" xfId="66" applyNumberFormat="1" applyFont="1" applyFill="1" applyBorder="1" applyAlignment="1" quotePrefix="1">
      <alignment horizontal="right" vertical="center"/>
      <protection/>
    </xf>
    <xf numFmtId="3" fontId="39" fillId="0" borderId="20" xfId="59" applyNumberFormat="1" applyFont="1" applyBorder="1" applyAlignment="1">
      <alignment horizontal="right" vertical="center"/>
      <protection/>
    </xf>
    <xf numFmtId="0" fontId="44" fillId="0" borderId="0" xfId="59" applyFont="1" applyAlignment="1">
      <alignment vertical="center"/>
      <protection/>
    </xf>
    <xf numFmtId="187" fontId="43" fillId="38" borderId="17" xfId="66" applyNumberFormat="1" applyFont="1" applyFill="1" applyBorder="1" applyAlignment="1" quotePrefix="1">
      <alignment horizontal="right" vertical="center"/>
      <protection/>
    </xf>
    <xf numFmtId="3" fontId="39" fillId="0" borderId="21" xfId="59" applyNumberFormat="1" applyFont="1" applyBorder="1" applyAlignment="1">
      <alignment horizontal="right" vertical="center"/>
      <protection/>
    </xf>
    <xf numFmtId="0" fontId="44" fillId="35" borderId="0" xfId="59" applyFont="1" applyFill="1" applyAlignment="1">
      <alignment vertical="center"/>
      <protection/>
    </xf>
    <xf numFmtId="0" fontId="44" fillId="34" borderId="0" xfId="59" applyFont="1" applyFill="1" applyAlignment="1">
      <alignment vertical="center"/>
      <protection/>
    </xf>
    <xf numFmtId="0" fontId="44" fillId="0" borderId="22" xfId="66" applyNumberFormat="1" applyFont="1" applyFill="1" applyBorder="1" applyAlignment="1" quotePrefix="1">
      <alignment horizontal="right"/>
      <protection/>
    </xf>
    <xf numFmtId="187" fontId="43" fillId="38" borderId="0" xfId="66" applyNumberFormat="1" applyFont="1" applyFill="1" applyBorder="1" applyAlignment="1" quotePrefix="1">
      <alignment horizontal="right" vertical="center"/>
      <protection/>
    </xf>
    <xf numFmtId="0" fontId="44" fillId="0" borderId="0" xfId="59" applyNumberFormat="1" applyFont="1" applyAlignment="1">
      <alignment horizontal="right"/>
      <protection/>
    </xf>
    <xf numFmtId="0" fontId="44" fillId="0" borderId="0" xfId="66" applyNumberFormat="1" applyFont="1" applyFill="1" applyAlignment="1">
      <alignment horizontal="right"/>
      <protection/>
    </xf>
    <xf numFmtId="0" fontId="43" fillId="38" borderId="23" xfId="66" applyFont="1" applyFill="1" applyBorder="1" applyAlignment="1" quotePrefix="1">
      <alignment horizontal="left"/>
      <protection/>
    </xf>
    <xf numFmtId="184" fontId="45" fillId="0" borderId="0" xfId="66" applyNumberFormat="1" applyFont="1" applyFill="1" applyBorder="1">
      <alignment/>
      <protection/>
    </xf>
    <xf numFmtId="0" fontId="46" fillId="0" borderId="0" xfId="66" applyFont="1" applyFill="1" applyBorder="1">
      <alignment/>
      <protection/>
    </xf>
    <xf numFmtId="0" fontId="46" fillId="0" borderId="24" xfId="66" applyFont="1" applyFill="1" applyBorder="1">
      <alignment/>
      <protection/>
    </xf>
    <xf numFmtId="0" fontId="47" fillId="0" borderId="0" xfId="59" applyFont="1" applyAlignment="1">
      <alignment vertical="center"/>
      <protection/>
    </xf>
    <xf numFmtId="0" fontId="31" fillId="0" borderId="0" xfId="59" applyNumberFormat="1" applyFont="1" applyBorder="1" applyAlignment="1">
      <alignment horizontal="right"/>
      <protection/>
    </xf>
    <xf numFmtId="0" fontId="40" fillId="0" borderId="11" xfId="66" applyFont="1" applyFill="1" applyBorder="1" applyAlignment="1" quotePrefix="1">
      <alignment horizontal="right" vertical="center"/>
      <protection/>
    </xf>
    <xf numFmtId="0" fontId="48" fillId="0" borderId="12" xfId="66" applyFont="1" applyFill="1" applyBorder="1" applyAlignment="1">
      <alignment horizontal="right" vertical="center"/>
      <protection/>
    </xf>
    <xf numFmtId="3" fontId="38" fillId="0" borderId="10" xfId="59" applyNumberFormat="1" applyFont="1" applyBorder="1" applyAlignment="1">
      <alignment vertical="center"/>
      <protection/>
    </xf>
    <xf numFmtId="0" fontId="49" fillId="0" borderId="0" xfId="59" applyFont="1" applyBorder="1" applyAlignment="1">
      <alignment vertical="center"/>
      <protection/>
    </xf>
    <xf numFmtId="0" fontId="40" fillId="0" borderId="0" xfId="66" applyFont="1" applyFill="1" applyBorder="1" applyAlignment="1" quotePrefix="1">
      <alignment horizontal="right" vertical="center"/>
      <protection/>
    </xf>
    <xf numFmtId="187" fontId="48" fillId="0" borderId="0" xfId="66" applyNumberFormat="1" applyFont="1" applyFill="1" applyBorder="1" applyAlignment="1" quotePrefix="1">
      <alignment horizontal="center" vertical="center"/>
      <protection/>
    </xf>
    <xf numFmtId="0" fontId="30" fillId="0" borderId="0" xfId="66" applyFont="1" applyFill="1" applyBorder="1" applyAlignment="1">
      <alignment horizontal="left" vertical="center" wrapText="1"/>
      <protection/>
    </xf>
    <xf numFmtId="3" fontId="32" fillId="0" borderId="0" xfId="59" applyNumberFormat="1" applyFont="1" applyBorder="1" applyAlignment="1" applyProtection="1">
      <alignment horizontal="right" vertical="center"/>
      <protection locked="0"/>
    </xf>
    <xf numFmtId="3" fontId="32" fillId="0" borderId="0" xfId="59" applyNumberFormat="1" applyFont="1" applyAlignment="1">
      <alignment horizontal="right" vertical="center"/>
      <protection/>
    </xf>
    <xf numFmtId="3" fontId="32" fillId="0" borderId="0" xfId="59" applyNumberFormat="1" applyFont="1" applyAlignment="1">
      <alignment horizontal="center" vertical="center"/>
      <protection/>
    </xf>
    <xf numFmtId="0" fontId="37" fillId="0" borderId="0" xfId="59" applyFont="1" applyAlignment="1">
      <alignment vertical="center" wrapText="1"/>
      <protection/>
    </xf>
    <xf numFmtId="14" fontId="32" fillId="0" borderId="0" xfId="59" applyNumberFormat="1" applyFont="1" applyFill="1" applyAlignment="1" applyProtection="1" quotePrefix="1">
      <alignment horizontal="center" vertical="center"/>
      <protection/>
    </xf>
    <xf numFmtId="14" fontId="32" fillId="0" borderId="0" xfId="59" applyNumberFormat="1" applyFont="1" applyFill="1" applyAlignment="1" applyProtection="1">
      <alignment horizontal="center" vertical="center"/>
      <protection/>
    </xf>
    <xf numFmtId="49" fontId="32" fillId="38" borderId="10" xfId="59" applyNumberFormat="1" applyFont="1" applyFill="1" applyBorder="1" applyAlignment="1">
      <alignment horizontal="center" vertical="center"/>
      <protection/>
    </xf>
    <xf numFmtId="3" fontId="32" fillId="0" borderId="0" xfId="59" applyNumberFormat="1" applyFont="1" applyAlignment="1" quotePrefix="1">
      <alignment horizontal="right" vertical="center"/>
      <protection/>
    </xf>
    <xf numFmtId="49" fontId="38" fillId="38" borderId="15" xfId="59" applyNumberFormat="1" applyFont="1" applyFill="1" applyBorder="1" applyAlignment="1">
      <alignment horizontal="center" vertical="center"/>
      <protection/>
    </xf>
    <xf numFmtId="0" fontId="32" fillId="0" borderId="19" xfId="59" applyFont="1" applyBorder="1" applyAlignment="1">
      <alignment horizontal="center" vertical="center"/>
      <protection/>
    </xf>
    <xf numFmtId="0" fontId="41" fillId="0" borderId="11" xfId="59" applyFont="1" applyBorder="1" applyAlignment="1">
      <alignment horizontal="left" vertical="center"/>
      <protection/>
    </xf>
    <xf numFmtId="3" fontId="39" fillId="35" borderId="25" xfId="59" applyNumberFormat="1" applyFont="1" applyFill="1" applyBorder="1" applyAlignment="1" applyProtection="1">
      <alignment horizontal="right" vertical="center"/>
      <protection locked="0"/>
    </xf>
    <xf numFmtId="3" fontId="39" fillId="35" borderId="20" xfId="59" applyNumberFormat="1" applyFont="1" applyFill="1" applyBorder="1" applyAlignment="1" applyProtection="1">
      <alignment horizontal="right" vertical="center"/>
      <protection locked="0"/>
    </xf>
    <xf numFmtId="3" fontId="39" fillId="35" borderId="23" xfId="59" applyNumberFormat="1" applyFont="1" applyFill="1" applyBorder="1" applyAlignment="1" applyProtection="1">
      <alignment horizontal="right" vertical="center"/>
      <protection locked="0"/>
    </xf>
    <xf numFmtId="3" fontId="39" fillId="35" borderId="21" xfId="59" applyNumberFormat="1" applyFont="1" applyFill="1" applyBorder="1" applyAlignment="1" applyProtection="1">
      <alignment horizontal="right" vertical="center"/>
      <protection locked="0"/>
    </xf>
    <xf numFmtId="0" fontId="44" fillId="0" borderId="0" xfId="59" applyNumberFormat="1" applyFont="1" applyBorder="1" applyAlignment="1">
      <alignment horizontal="right"/>
      <protection/>
    </xf>
    <xf numFmtId="0" fontId="43" fillId="38" borderId="23" xfId="59" applyFont="1" applyFill="1" applyBorder="1" applyAlignment="1">
      <alignment vertical="center"/>
      <protection/>
    </xf>
    <xf numFmtId="0" fontId="44" fillId="34" borderId="0" xfId="59" applyNumberFormat="1" applyFont="1" applyFill="1" applyAlignment="1">
      <alignment horizontal="right"/>
      <protection/>
    </xf>
    <xf numFmtId="187" fontId="43" fillId="38" borderId="17" xfId="66" applyNumberFormat="1" applyFont="1" applyFill="1" applyBorder="1" applyAlignment="1" quotePrefix="1">
      <alignment horizontal="right"/>
      <protection/>
    </xf>
    <xf numFmtId="0" fontId="44" fillId="0" borderId="0" xfId="59" applyFont="1">
      <alignment/>
      <protection/>
    </xf>
    <xf numFmtId="187" fontId="43" fillId="38" borderId="17" xfId="66" applyNumberFormat="1" applyFont="1" applyFill="1" applyBorder="1" applyAlignment="1">
      <alignment horizontal="right"/>
      <protection/>
    </xf>
    <xf numFmtId="3" fontId="39" fillId="0" borderId="26" xfId="59" applyNumberFormat="1" applyFont="1" applyBorder="1" applyAlignment="1">
      <alignment horizontal="right" vertical="center"/>
      <protection/>
    </xf>
    <xf numFmtId="3" fontId="39" fillId="35" borderId="27" xfId="59" applyNumberFormat="1" applyFont="1" applyFill="1" applyBorder="1" applyAlignment="1" applyProtection="1">
      <alignment horizontal="right" vertical="center"/>
      <protection locked="0"/>
    </xf>
    <xf numFmtId="3" fontId="39" fillId="35" borderId="28" xfId="59" applyNumberFormat="1" applyFont="1" applyFill="1" applyBorder="1" applyAlignment="1" applyProtection="1">
      <alignment horizontal="right" vertical="center"/>
      <protection locked="0"/>
    </xf>
    <xf numFmtId="3" fontId="39" fillId="35" borderId="26" xfId="59" applyNumberFormat="1" applyFont="1" applyFill="1" applyBorder="1" applyAlignment="1" applyProtection="1">
      <alignment horizontal="right" vertical="center"/>
      <protection locked="0"/>
    </xf>
    <xf numFmtId="0" fontId="31" fillId="0" borderId="0" xfId="59" applyNumberFormat="1" applyFont="1" applyAlignment="1">
      <alignment horizontal="right"/>
      <protection/>
    </xf>
    <xf numFmtId="189" fontId="40" fillId="0" borderId="11" xfId="66" applyNumberFormat="1" applyFont="1" applyFill="1" applyBorder="1" applyAlignment="1">
      <alignment vertical="center"/>
      <protection/>
    </xf>
    <xf numFmtId="3" fontId="38" fillId="35" borderId="10" xfId="59" applyNumberFormat="1" applyFont="1" applyFill="1" applyBorder="1" applyAlignment="1">
      <alignment vertical="center"/>
      <protection/>
    </xf>
    <xf numFmtId="0" fontId="40" fillId="0" borderId="0" xfId="66" applyFont="1" applyFill="1" applyBorder="1" applyAlignment="1">
      <alignment horizontal="center" vertical="center"/>
      <protection/>
    </xf>
    <xf numFmtId="0" fontId="32" fillId="0" borderId="17" xfId="59" applyFont="1" applyBorder="1" applyAlignment="1" quotePrefix="1">
      <alignment horizontal="center" vertical="center"/>
      <protection/>
    </xf>
    <xf numFmtId="3" fontId="39" fillId="0" borderId="20" xfId="59" applyNumberFormat="1" applyFont="1" applyBorder="1" applyAlignment="1">
      <alignment vertical="center"/>
      <protection/>
    </xf>
    <xf numFmtId="3" fontId="39" fillId="0" borderId="21" xfId="59" applyNumberFormat="1" applyFont="1" applyBorder="1" applyAlignment="1" applyProtection="1">
      <alignment vertical="center"/>
      <protection/>
    </xf>
    <xf numFmtId="187" fontId="43" fillId="38" borderId="13" xfId="66" applyNumberFormat="1" applyFont="1" applyFill="1" applyBorder="1" applyAlignment="1" quotePrefix="1">
      <alignment horizontal="right" vertical="center"/>
      <protection/>
    </xf>
    <xf numFmtId="3" fontId="39" fillId="0" borderId="29" xfId="59" applyNumberFormat="1" applyFont="1" applyBorder="1" applyAlignment="1" applyProtection="1">
      <alignment vertical="center"/>
      <protection/>
    </xf>
    <xf numFmtId="187" fontId="38" fillId="0" borderId="11" xfId="66" applyNumberFormat="1" applyFont="1" applyFill="1" applyBorder="1" applyAlignment="1" quotePrefix="1">
      <alignment horizontal="center" vertical="center"/>
      <protection/>
    </xf>
    <xf numFmtId="3" fontId="38" fillId="0" borderId="11" xfId="59" applyNumberFormat="1" applyFont="1" applyBorder="1" applyAlignment="1">
      <alignment vertical="center"/>
      <protection/>
    </xf>
    <xf numFmtId="3" fontId="38" fillId="0" borderId="12" xfId="59" applyNumberFormat="1" applyFont="1" applyBorder="1" applyAlignment="1">
      <alignment vertical="center"/>
      <protection/>
    </xf>
    <xf numFmtId="3" fontId="39" fillId="0" borderId="21" xfId="59" applyNumberFormat="1" applyFont="1" applyBorder="1" applyAlignment="1">
      <alignment vertical="center"/>
      <protection/>
    </xf>
    <xf numFmtId="0" fontId="46" fillId="0" borderId="0" xfId="66" applyFont="1" applyFill="1">
      <alignment/>
      <protection/>
    </xf>
    <xf numFmtId="0" fontId="45" fillId="34" borderId="0" xfId="66" applyFont="1" applyFill="1" applyBorder="1" applyAlignment="1">
      <alignment horizontal="right"/>
      <protection/>
    </xf>
    <xf numFmtId="0" fontId="43" fillId="38" borderId="23" xfId="66" applyFont="1" applyFill="1" applyBorder="1">
      <alignment/>
      <protection/>
    </xf>
    <xf numFmtId="3" fontId="39" fillId="0" borderId="21" xfId="59" applyNumberFormat="1" applyFont="1" applyBorder="1" applyAlignment="1" applyProtection="1">
      <alignment horizontal="right" vertical="center"/>
      <protection locked="0"/>
    </xf>
    <xf numFmtId="3" fontId="39" fillId="0" borderId="20" xfId="59" applyNumberFormat="1" applyFont="1" applyBorder="1" applyAlignment="1" applyProtection="1">
      <alignment vertical="center"/>
      <protection locked="0"/>
    </xf>
    <xf numFmtId="3" fontId="39" fillId="0" borderId="21" xfId="59" applyNumberFormat="1" applyFont="1" applyBorder="1" applyAlignment="1" applyProtection="1">
      <alignment vertical="center"/>
      <protection locked="0"/>
    </xf>
    <xf numFmtId="0" fontId="37" fillId="0" borderId="0" xfId="59" applyFont="1" applyAlignment="1">
      <alignment vertical="center"/>
      <protection/>
    </xf>
    <xf numFmtId="0" fontId="32" fillId="39" borderId="16" xfId="59" applyFont="1" applyFill="1" applyBorder="1" applyAlignment="1" quotePrefix="1">
      <alignment horizontal="center" vertical="center"/>
      <protection/>
    </xf>
    <xf numFmtId="0" fontId="32" fillId="39" borderId="16" xfId="59" applyFont="1" applyFill="1" applyBorder="1" applyAlignment="1">
      <alignment vertical="center"/>
      <protection/>
    </xf>
    <xf numFmtId="0" fontId="32" fillId="39" borderId="19" xfId="59" applyFont="1" applyFill="1" applyBorder="1" applyAlignment="1" quotePrefix="1">
      <alignment horizontal="center" vertical="center" wrapText="1"/>
      <protection/>
    </xf>
    <xf numFmtId="0" fontId="32" fillId="39" borderId="30" xfId="59" applyFont="1" applyFill="1" applyBorder="1" applyAlignment="1" quotePrefix="1">
      <alignment horizontal="center" vertical="center" wrapText="1"/>
      <protection/>
    </xf>
    <xf numFmtId="0" fontId="32" fillId="39" borderId="17" xfId="59" applyFont="1" applyFill="1" applyBorder="1" applyAlignment="1" quotePrefix="1">
      <alignment horizontal="center" vertical="center" wrapText="1"/>
      <protection/>
    </xf>
    <xf numFmtId="0" fontId="32" fillId="39" borderId="11" xfId="59" applyFont="1" applyFill="1" applyBorder="1" applyAlignment="1" quotePrefix="1">
      <alignment horizontal="left" vertical="center"/>
      <protection/>
    </xf>
    <xf numFmtId="0" fontId="32" fillId="39" borderId="12" xfId="59" applyFont="1" applyFill="1" applyBorder="1" applyAlignment="1">
      <alignment horizontal="center" vertical="center"/>
      <protection/>
    </xf>
    <xf numFmtId="0" fontId="32" fillId="39" borderId="11" xfId="59" applyFont="1" applyFill="1" applyBorder="1" applyAlignment="1" quotePrefix="1">
      <alignment horizontal="left" vertical="center" wrapText="1"/>
      <protection/>
    </xf>
    <xf numFmtId="0" fontId="32" fillId="39" borderId="13" xfId="59" applyFont="1" applyFill="1" applyBorder="1" applyAlignment="1">
      <alignment vertical="center"/>
      <protection/>
    </xf>
    <xf numFmtId="184" fontId="32" fillId="39" borderId="31" xfId="59" applyNumberFormat="1" applyFont="1" applyFill="1" applyBorder="1" applyAlignment="1" quotePrefix="1">
      <alignment horizontal="center" vertical="center"/>
      <protection/>
    </xf>
    <xf numFmtId="184" fontId="32" fillId="39" borderId="30" xfId="59" applyNumberFormat="1" applyFont="1" applyFill="1" applyBorder="1" applyAlignment="1" quotePrefix="1">
      <alignment horizontal="center" vertical="center" wrapText="1"/>
      <protection/>
    </xf>
    <xf numFmtId="3" fontId="38" fillId="0" borderId="30" xfId="59" applyNumberFormat="1" applyFont="1" applyBorder="1" applyAlignment="1">
      <alignment horizontal="right" vertical="center"/>
      <protection/>
    </xf>
    <xf numFmtId="184" fontId="32" fillId="0" borderId="0" xfId="59" applyNumberFormat="1" applyFont="1" applyBorder="1" applyAlignment="1">
      <alignment vertical="center"/>
      <protection/>
    </xf>
    <xf numFmtId="184" fontId="32" fillId="0" borderId="0" xfId="59" applyNumberFormat="1" applyFont="1" applyBorder="1" applyAlignment="1">
      <alignment vertical="center" wrapText="1"/>
      <protection/>
    </xf>
    <xf numFmtId="3" fontId="32" fillId="0" borderId="0" xfId="59" applyNumberFormat="1" applyFont="1" applyBorder="1" applyAlignment="1">
      <alignment horizontal="right" vertical="center"/>
      <protection/>
    </xf>
    <xf numFmtId="0" fontId="32" fillId="0" borderId="11" xfId="59" applyFont="1" applyBorder="1" applyAlignment="1" quotePrefix="1">
      <alignment horizontal="center" vertical="center"/>
      <protection/>
    </xf>
    <xf numFmtId="0" fontId="32" fillId="0" borderId="11" xfId="59" applyFont="1" applyBorder="1" applyAlignment="1">
      <alignment horizontal="left" vertical="center"/>
      <protection/>
    </xf>
    <xf numFmtId="3" fontId="39" fillId="0" borderId="21" xfId="59" applyNumberFormat="1" applyFont="1" applyBorder="1" applyAlignment="1" applyProtection="1">
      <alignment horizontal="right" vertical="center"/>
      <protection/>
    </xf>
    <xf numFmtId="184" fontId="46" fillId="0" borderId="0" xfId="66" applyNumberFormat="1" applyFont="1" applyFill="1" applyBorder="1">
      <alignment/>
      <protection/>
    </xf>
    <xf numFmtId="184" fontId="46" fillId="0" borderId="0" xfId="66" applyNumberFormat="1" applyFont="1" applyFill="1" applyBorder="1" applyProtection="1">
      <alignment/>
      <protection locked="0"/>
    </xf>
    <xf numFmtId="184" fontId="46" fillId="0" borderId="0" xfId="66" applyNumberFormat="1" applyFont="1" applyFill="1">
      <alignment/>
      <protection/>
    </xf>
    <xf numFmtId="184" fontId="46" fillId="0" borderId="0" xfId="66" applyNumberFormat="1" applyFont="1" applyFill="1" applyProtection="1">
      <alignment/>
      <protection locked="0"/>
    </xf>
    <xf numFmtId="184" fontId="45" fillId="0" borderId="0" xfId="66" applyNumberFormat="1" applyFont="1" applyFill="1">
      <alignment/>
      <protection/>
    </xf>
    <xf numFmtId="184" fontId="40" fillId="0" borderId="11" xfId="66" applyNumberFormat="1" applyFont="1" applyFill="1" applyBorder="1" applyAlignment="1">
      <alignment horizontal="right" vertical="center"/>
      <protection/>
    </xf>
    <xf numFmtId="0" fontId="32" fillId="0" borderId="0" xfId="59" applyFont="1" applyAlignment="1" applyProtection="1">
      <alignment vertical="center"/>
      <protection/>
    </xf>
    <xf numFmtId="0" fontId="32" fillId="0" borderId="0" xfId="59" applyFont="1" applyAlignment="1" applyProtection="1">
      <alignment vertical="center" wrapText="1"/>
      <protection/>
    </xf>
    <xf numFmtId="0" fontId="32" fillId="0" borderId="0" xfId="59" applyFont="1" applyAlignment="1" applyProtection="1" quotePrefix="1">
      <alignment vertical="center"/>
      <protection/>
    </xf>
    <xf numFmtId="3" fontId="32" fillId="0" borderId="0" xfId="59" applyNumberFormat="1" applyFont="1" applyAlignment="1" applyProtection="1">
      <alignment horizontal="right" vertical="center"/>
      <protection/>
    </xf>
    <xf numFmtId="0" fontId="32" fillId="0" borderId="0" xfId="59" applyFont="1" applyBorder="1" applyAlignment="1" applyProtection="1">
      <alignment vertical="center"/>
      <protection/>
    </xf>
    <xf numFmtId="0" fontId="32" fillId="0" borderId="0" xfId="59" applyFont="1" applyBorder="1" applyAlignment="1" applyProtection="1">
      <alignment vertical="center" wrapText="1"/>
      <protection/>
    </xf>
    <xf numFmtId="187" fontId="38" fillId="0" borderId="11" xfId="66" applyNumberFormat="1" applyFont="1" applyFill="1" applyBorder="1" applyAlignment="1" applyProtection="1" quotePrefix="1">
      <alignment horizontal="center" vertical="center"/>
      <protection/>
    </xf>
    <xf numFmtId="0" fontId="32" fillId="0" borderId="19" xfId="59" applyFont="1" applyBorder="1" applyAlignment="1" applyProtection="1" quotePrefix="1">
      <alignment horizontal="center" vertical="center"/>
      <protection/>
    </xf>
    <xf numFmtId="187" fontId="43" fillId="38" borderId="19" xfId="66" applyNumberFormat="1" applyFont="1" applyFill="1" applyBorder="1" applyAlignment="1" applyProtection="1">
      <alignment horizontal="center" vertical="center"/>
      <protection/>
    </xf>
    <xf numFmtId="187" fontId="43" fillId="38" borderId="17" xfId="66" applyNumberFormat="1" applyFont="1" applyFill="1" applyBorder="1" applyAlignment="1" applyProtection="1">
      <alignment horizontal="center" vertical="center"/>
      <protection/>
    </xf>
    <xf numFmtId="184" fontId="40" fillId="0" borderId="11" xfId="66" applyNumberFormat="1" applyFont="1" applyFill="1" applyBorder="1" applyAlignment="1" applyProtection="1">
      <alignment horizontal="right" vertical="center"/>
      <protection/>
    </xf>
    <xf numFmtId="3" fontId="38" fillId="0" borderId="10" xfId="59" applyNumberFormat="1" applyFont="1" applyBorder="1" applyAlignment="1" applyProtection="1">
      <alignment vertical="center"/>
      <protection/>
    </xf>
    <xf numFmtId="0" fontId="37" fillId="0" borderId="0" xfId="59" applyFont="1">
      <alignment/>
      <protection/>
    </xf>
    <xf numFmtId="0" fontId="49" fillId="0" borderId="0" xfId="59" applyFont="1">
      <alignment/>
      <protection/>
    </xf>
    <xf numFmtId="1" fontId="6" fillId="0" borderId="18" xfId="58" applyNumberFormat="1" applyFont="1" applyBorder="1" applyAlignment="1">
      <alignment horizontal="center" vertical="center" wrapText="1"/>
      <protection/>
    </xf>
    <xf numFmtId="0" fontId="31" fillId="40" borderId="0" xfId="59" applyFont="1" applyFill="1" applyAlignment="1">
      <alignment vertical="center"/>
      <protection/>
    </xf>
    <xf numFmtId="0" fontId="42" fillId="40" borderId="0" xfId="59" applyFont="1" applyFill="1" applyAlignment="1">
      <alignment vertical="center"/>
      <protection/>
    </xf>
    <xf numFmtId="0" fontId="44" fillId="40" borderId="0" xfId="59" applyFont="1" applyFill="1" applyAlignment="1">
      <alignment vertical="center"/>
      <protection/>
    </xf>
    <xf numFmtId="0" fontId="49" fillId="40" borderId="0" xfId="59" applyFont="1" applyFill="1">
      <alignment/>
      <protection/>
    </xf>
    <xf numFmtId="0" fontId="44" fillId="41" borderId="0" xfId="59" applyFont="1" applyFill="1" applyAlignment="1">
      <alignment vertical="center"/>
      <protection/>
    </xf>
    <xf numFmtId="0" fontId="31" fillId="41" borderId="0" xfId="59" applyFont="1" applyFill="1" applyAlignment="1">
      <alignment vertical="center"/>
      <protection/>
    </xf>
    <xf numFmtId="0" fontId="31" fillId="41" borderId="0" xfId="59" applyFont="1" applyFill="1" applyBorder="1" applyAlignment="1">
      <alignment vertical="center"/>
      <protection/>
    </xf>
    <xf numFmtId="0" fontId="49" fillId="41" borderId="0" xfId="59" applyFont="1" applyFill="1" applyBorder="1" applyAlignment="1">
      <alignment vertical="center"/>
      <protection/>
    </xf>
    <xf numFmtId="3" fontId="38" fillId="0" borderId="14" xfId="59" applyNumberFormat="1" applyFont="1" applyBorder="1" applyAlignment="1">
      <alignment vertical="center"/>
      <protection/>
    </xf>
    <xf numFmtId="3" fontId="39" fillId="0" borderId="32" xfId="59" applyNumberFormat="1" applyFont="1" applyBorder="1" applyAlignment="1">
      <alignment horizontal="right" vertical="center"/>
      <protection/>
    </xf>
    <xf numFmtId="3" fontId="39" fillId="0" borderId="33" xfId="59" applyNumberFormat="1" applyFont="1" applyBorder="1" applyAlignment="1">
      <alignment horizontal="right" vertical="center"/>
      <protection/>
    </xf>
    <xf numFmtId="0" fontId="43" fillId="38" borderId="34" xfId="66" applyFont="1" applyFill="1" applyBorder="1" applyAlignment="1" quotePrefix="1">
      <alignment horizontal="left"/>
      <protection/>
    </xf>
    <xf numFmtId="0" fontId="38" fillId="0" borderId="11" xfId="59" applyFont="1" applyBorder="1" applyAlignment="1">
      <alignment horizontal="center" vertical="center" wrapText="1"/>
      <protection/>
    </xf>
    <xf numFmtId="0" fontId="43" fillId="38" borderId="34" xfId="59" applyFont="1" applyFill="1" applyBorder="1" applyAlignment="1">
      <alignment vertical="center" wrapText="1"/>
      <protection/>
    </xf>
    <xf numFmtId="3" fontId="39" fillId="0" borderId="35" xfId="59" applyNumberFormat="1" applyFont="1" applyBorder="1" applyAlignment="1">
      <alignment horizontal="right" vertical="center"/>
      <protection/>
    </xf>
    <xf numFmtId="3" fontId="39" fillId="0" borderId="32" xfId="59" applyNumberFormat="1" applyFont="1" applyBorder="1" applyAlignment="1" applyProtection="1">
      <alignment vertical="center"/>
      <protection locked="0"/>
    </xf>
    <xf numFmtId="3" fontId="39" fillId="0" borderId="32" xfId="59" applyNumberFormat="1" applyFont="1" applyBorder="1" applyAlignment="1">
      <alignment vertical="center"/>
      <protection/>
    </xf>
    <xf numFmtId="3" fontId="39" fillId="0" borderId="33" xfId="59" applyNumberFormat="1" applyFont="1" applyBorder="1" applyAlignment="1" applyProtection="1">
      <alignment vertical="center"/>
      <protection locked="0"/>
    </xf>
    <xf numFmtId="3" fontId="39" fillId="0" borderId="33" xfId="59" applyNumberFormat="1" applyFont="1" applyBorder="1" applyAlignment="1" applyProtection="1">
      <alignment vertical="center"/>
      <protection/>
    </xf>
    <xf numFmtId="3" fontId="39" fillId="0" borderId="36" xfId="59" applyNumberFormat="1" applyFont="1" applyBorder="1" applyAlignment="1" applyProtection="1">
      <alignment vertical="center"/>
      <protection locked="0"/>
    </xf>
    <xf numFmtId="3" fontId="39" fillId="0" borderId="36" xfId="59" applyNumberFormat="1" applyFont="1" applyBorder="1" applyAlignment="1" applyProtection="1">
      <alignment vertical="center"/>
      <protection/>
    </xf>
    <xf numFmtId="0" fontId="43" fillId="38" borderId="34" xfId="66" applyFont="1" applyFill="1" applyBorder="1" applyAlignment="1" quotePrefix="1">
      <alignment horizontal="center"/>
      <protection/>
    </xf>
    <xf numFmtId="3" fontId="39" fillId="0" borderId="33" xfId="59" applyNumberFormat="1" applyFont="1" applyBorder="1" applyAlignment="1">
      <alignment vertical="center"/>
      <protection/>
    </xf>
    <xf numFmtId="3" fontId="39" fillId="0" borderId="33" xfId="59" applyNumberFormat="1" applyFont="1" applyBorder="1" applyAlignment="1" applyProtection="1">
      <alignment horizontal="right" vertical="center"/>
      <protection locked="0"/>
    </xf>
    <xf numFmtId="3" fontId="39" fillId="0" borderId="33" xfId="59" applyNumberFormat="1" applyFont="1" applyBorder="1" applyAlignment="1" applyProtection="1">
      <alignment horizontal="right" vertical="center"/>
      <protection/>
    </xf>
    <xf numFmtId="3" fontId="39" fillId="0" borderId="32" xfId="59" applyNumberFormat="1" applyFont="1" applyBorder="1" applyAlignment="1" applyProtection="1">
      <alignment vertical="center"/>
      <protection/>
    </xf>
    <xf numFmtId="3" fontId="39" fillId="0" borderId="37" xfId="59" applyNumberFormat="1" applyFont="1" applyBorder="1" applyAlignment="1" applyProtection="1">
      <alignment vertical="center"/>
      <protection/>
    </xf>
    <xf numFmtId="3" fontId="39" fillId="0" borderId="30" xfId="59" applyNumberFormat="1" applyFont="1" applyBorder="1" applyAlignment="1" applyProtection="1">
      <alignment vertical="center"/>
      <protection/>
    </xf>
    <xf numFmtId="0" fontId="32" fillId="0" borderId="14" xfId="59" applyFont="1" applyBorder="1" applyAlignment="1">
      <alignment horizontal="center" vertical="center"/>
      <protection/>
    </xf>
    <xf numFmtId="3" fontId="39" fillId="0" borderId="25" xfId="59" applyNumberFormat="1" applyFont="1" applyFill="1" applyBorder="1" applyAlignment="1" applyProtection="1">
      <alignment horizontal="right" vertical="center"/>
      <protection locked="0"/>
    </xf>
    <xf numFmtId="3" fontId="39" fillId="0" borderId="23" xfId="59" applyNumberFormat="1" applyFont="1" applyFill="1" applyBorder="1" applyAlignment="1" applyProtection="1">
      <alignment horizontal="right" vertical="center"/>
      <protection locked="0"/>
    </xf>
    <xf numFmtId="3" fontId="39" fillId="0" borderId="28" xfId="59" applyNumberFormat="1" applyFont="1" applyFill="1" applyBorder="1" applyAlignment="1" applyProtection="1">
      <alignment horizontal="right" vertical="center"/>
      <protection locked="0"/>
    </xf>
    <xf numFmtId="3" fontId="38" fillId="0" borderId="10" xfId="59" applyNumberFormat="1" applyFont="1" applyFill="1" applyBorder="1" applyAlignment="1">
      <alignment vertical="center"/>
      <protection/>
    </xf>
    <xf numFmtId="3" fontId="26" fillId="0" borderId="0" xfId="58" applyNumberFormat="1" applyFont="1" applyAlignment="1" applyProtection="1">
      <alignment/>
      <protection/>
    </xf>
    <xf numFmtId="3" fontId="20" fillId="37" borderId="0" xfId="58" applyNumberFormat="1" applyFont="1" applyFill="1" applyBorder="1" applyAlignment="1" applyProtection="1">
      <alignment horizontal="right"/>
      <protection/>
    </xf>
    <xf numFmtId="3" fontId="25" fillId="0" borderId="10" xfId="58" applyNumberFormat="1" applyFont="1" applyFill="1" applyBorder="1" applyAlignment="1" applyProtection="1" quotePrefix="1">
      <alignment horizontal="center" vertical="center"/>
      <protection/>
    </xf>
    <xf numFmtId="0" fontId="23" fillId="0" borderId="0" xfId="58" applyProtection="1">
      <alignment/>
      <protection/>
    </xf>
    <xf numFmtId="0" fontId="14" fillId="37" borderId="0" xfId="58" applyFont="1" applyFill="1" applyAlignment="1">
      <alignment vertical="center"/>
      <protection/>
    </xf>
    <xf numFmtId="0" fontId="6" fillId="0" borderId="0" xfId="58" applyFont="1" applyAlignment="1">
      <alignment horizontal="right" vertical="center"/>
      <protection/>
    </xf>
    <xf numFmtId="0" fontId="249" fillId="0" borderId="0" xfId="60">
      <alignment/>
      <protection/>
    </xf>
    <xf numFmtId="0" fontId="6" fillId="0" borderId="0" xfId="60" applyFont="1" applyAlignment="1">
      <alignment horizontal="left" vertical="center" wrapText="1"/>
      <protection/>
    </xf>
    <xf numFmtId="0" fontId="8" fillId="0" borderId="0" xfId="60" applyFont="1" applyAlignment="1">
      <alignment vertical="center" wrapText="1"/>
      <protection/>
    </xf>
    <xf numFmtId="0" fontId="249" fillId="0" borderId="0" xfId="60" applyAlignment="1">
      <alignment/>
      <protection/>
    </xf>
    <xf numFmtId="0" fontId="249" fillId="0" borderId="0" xfId="60" applyFill="1">
      <alignment/>
      <protection/>
    </xf>
    <xf numFmtId="0" fontId="249" fillId="0" borderId="0" xfId="60" quotePrefix="1">
      <alignment/>
      <protection/>
    </xf>
    <xf numFmtId="188" fontId="69" fillId="0" borderId="0" xfId="58" applyNumberFormat="1" applyFont="1" applyBorder="1" applyAlignment="1">
      <alignment horizontal="center"/>
      <protection/>
    </xf>
    <xf numFmtId="188" fontId="249" fillId="0" borderId="0" xfId="60" applyNumberFormat="1" applyBorder="1">
      <alignment/>
      <protection/>
    </xf>
    <xf numFmtId="188" fontId="72" fillId="0" borderId="0" xfId="58" applyNumberFormat="1" applyFont="1" applyBorder="1" applyAlignment="1">
      <alignment horizontal="center"/>
      <protection/>
    </xf>
    <xf numFmtId="188" fontId="65" fillId="42" borderId="0" xfId="58" applyNumberFormat="1" applyFont="1" applyFill="1" applyBorder="1" applyAlignment="1">
      <alignment horizontal="center"/>
      <protection/>
    </xf>
    <xf numFmtId="188" fontId="65" fillId="38" borderId="0" xfId="58" applyNumberFormat="1" applyFont="1" applyFill="1" applyBorder="1" applyAlignment="1">
      <alignment horizontal="center"/>
      <protection/>
    </xf>
    <xf numFmtId="188" fontId="62" fillId="0" borderId="0" xfId="58" applyNumberFormat="1" applyFont="1" applyBorder="1" applyAlignment="1">
      <alignment horizontal="center"/>
      <protection/>
    </xf>
    <xf numFmtId="188" fontId="69" fillId="35" borderId="0" xfId="58" applyNumberFormat="1" applyFont="1" applyFill="1" applyBorder="1" applyAlignment="1">
      <alignment horizontal="center"/>
      <protection/>
    </xf>
    <xf numFmtId="188" fontId="62" fillId="35" borderId="0" xfId="58" applyNumberFormat="1" applyFont="1" applyFill="1" applyBorder="1" applyAlignment="1">
      <alignment horizontal="center"/>
      <protection/>
    </xf>
    <xf numFmtId="0" fontId="249" fillId="0" borderId="0" xfId="60" applyBorder="1">
      <alignment/>
      <protection/>
    </xf>
    <xf numFmtId="188" fontId="63" fillId="35" borderId="0" xfId="58" applyNumberFormat="1" applyFont="1" applyFill="1" applyBorder="1" applyAlignment="1">
      <alignment horizontal="center"/>
      <protection/>
    </xf>
    <xf numFmtId="0" fontId="69" fillId="0" borderId="0" xfId="58" applyNumberFormat="1" applyFont="1" applyBorder="1" applyAlignment="1" quotePrefix="1">
      <alignment horizontal="center"/>
      <protection/>
    </xf>
    <xf numFmtId="0" fontId="69" fillId="0" borderId="0" xfId="58" applyNumberFormat="1" applyFont="1" applyFill="1" applyBorder="1" applyAlignment="1" quotePrefix="1">
      <alignment horizontal="center"/>
      <protection/>
    </xf>
    <xf numFmtId="191" fontId="69" fillId="0" borderId="0" xfId="58" applyNumberFormat="1" applyFont="1" applyFill="1" applyBorder="1" applyAlignment="1" quotePrefix="1">
      <alignment horizontal="center"/>
      <protection/>
    </xf>
    <xf numFmtId="0" fontId="69" fillId="35" borderId="0" xfId="58" applyNumberFormat="1" applyFont="1" applyFill="1" applyBorder="1" applyAlignment="1" quotePrefix="1">
      <alignment horizontal="center"/>
      <protection/>
    </xf>
    <xf numFmtId="3" fontId="39" fillId="0" borderId="30" xfId="59" applyNumberFormat="1" applyFont="1" applyBorder="1" applyAlignment="1">
      <alignment horizontal="right" vertical="center"/>
      <protection/>
    </xf>
    <xf numFmtId="3" fontId="39" fillId="0" borderId="38" xfId="59" applyNumberFormat="1" applyFont="1" applyBorder="1" applyAlignment="1">
      <alignment horizontal="right" vertical="center"/>
      <protection/>
    </xf>
    <xf numFmtId="0" fontId="9" fillId="0" borderId="0" xfId="58" applyFont="1" applyAlignment="1">
      <alignment horizontal="center" wrapText="1"/>
      <protection/>
    </xf>
    <xf numFmtId="0" fontId="81" fillId="0" borderId="0" xfId="58" applyFont="1" applyFill="1" applyBorder="1" applyAlignment="1">
      <alignment horizontal="left"/>
      <protection/>
    </xf>
    <xf numFmtId="0" fontId="11" fillId="35" borderId="0" xfId="67" applyFont="1" applyFill="1" applyBorder="1" applyAlignment="1" quotePrefix="1">
      <alignment horizontal="left"/>
      <protection/>
    </xf>
    <xf numFmtId="0" fontId="249" fillId="37" borderId="0" xfId="60" applyFill="1">
      <alignment/>
      <protection/>
    </xf>
    <xf numFmtId="0" fontId="249" fillId="37" borderId="0" xfId="60" applyFill="1" applyAlignment="1">
      <alignment/>
      <protection/>
    </xf>
    <xf numFmtId="0" fontId="6" fillId="42" borderId="39" xfId="58" applyFont="1" applyFill="1" applyBorder="1">
      <alignment/>
      <protection/>
    </xf>
    <xf numFmtId="0" fontId="6" fillId="42" borderId="40" xfId="58" applyFont="1" applyFill="1" applyBorder="1">
      <alignment/>
      <protection/>
    </xf>
    <xf numFmtId="0" fontId="6" fillId="42" borderId="41" xfId="58" applyFont="1" applyFill="1" applyBorder="1">
      <alignment/>
      <protection/>
    </xf>
    <xf numFmtId="0" fontId="6" fillId="42" borderId="41" xfId="58" applyFont="1" applyFill="1" applyBorder="1" applyAlignment="1" quotePrefix="1">
      <alignment horizontal="left"/>
      <protection/>
    </xf>
    <xf numFmtId="0" fontId="64" fillId="42" borderId="41" xfId="58" applyFont="1" applyFill="1" applyBorder="1">
      <alignment/>
      <protection/>
    </xf>
    <xf numFmtId="0" fontId="6" fillId="42" borderId="41" xfId="58" applyFont="1" applyFill="1" applyBorder="1" applyAlignment="1">
      <alignment wrapText="1"/>
      <protection/>
    </xf>
    <xf numFmtId="0" fontId="6" fillId="42" borderId="41" xfId="58" applyFont="1" applyFill="1" applyBorder="1">
      <alignment/>
      <protection/>
    </xf>
    <xf numFmtId="0" fontId="6" fillId="42" borderId="42" xfId="58" applyFont="1" applyFill="1" applyBorder="1">
      <alignment/>
      <protection/>
    </xf>
    <xf numFmtId="0" fontId="64" fillId="42" borderId="42" xfId="58" applyFont="1" applyFill="1" applyBorder="1">
      <alignment/>
      <protection/>
    </xf>
    <xf numFmtId="0" fontId="6" fillId="42" borderId="43" xfId="58" applyFont="1" applyFill="1" applyBorder="1">
      <alignment/>
      <protection/>
    </xf>
    <xf numFmtId="0" fontId="92" fillId="42" borderId="32" xfId="67" applyFont="1" applyFill="1" applyBorder="1">
      <alignment/>
      <protection/>
    </xf>
    <xf numFmtId="188" fontId="28" fillId="42" borderId="33" xfId="58" applyNumberFormat="1" applyFont="1" applyFill="1" applyBorder="1" applyAlignment="1">
      <alignment horizontal="left"/>
      <protection/>
    </xf>
    <xf numFmtId="188" fontId="67" fillId="42" borderId="33" xfId="58" applyNumberFormat="1" applyFont="1" applyFill="1" applyBorder="1" applyAlignment="1">
      <alignment horizontal="left"/>
      <protection/>
    </xf>
    <xf numFmtId="0" fontId="64" fillId="42" borderId="44" xfId="58" applyFont="1" applyFill="1" applyBorder="1">
      <alignment/>
      <protection/>
    </xf>
    <xf numFmtId="0" fontId="64" fillId="42" borderId="40" xfId="58" applyFont="1" applyFill="1" applyBorder="1">
      <alignment/>
      <protection/>
    </xf>
    <xf numFmtId="0" fontId="64" fillId="42" borderId="41" xfId="58" applyFont="1" applyFill="1" applyBorder="1">
      <alignment/>
      <protection/>
    </xf>
    <xf numFmtId="0" fontId="68" fillId="42" borderId="41" xfId="58" applyFont="1" applyFill="1" applyBorder="1">
      <alignment/>
      <protection/>
    </xf>
    <xf numFmtId="0" fontId="64" fillId="42" borderId="41" xfId="58" applyFont="1" applyFill="1" applyBorder="1" applyAlignment="1">
      <alignment horizontal="left"/>
      <protection/>
    </xf>
    <xf numFmtId="0" fontId="64" fillId="42" borderId="41" xfId="58" applyFont="1" applyFill="1" applyBorder="1" applyAlignment="1">
      <alignment horizontal="left" wrapText="1"/>
      <protection/>
    </xf>
    <xf numFmtId="0" fontId="73" fillId="42" borderId="42" xfId="58" applyFont="1" applyFill="1" applyBorder="1">
      <alignment/>
      <protection/>
    </xf>
    <xf numFmtId="188" fontId="29" fillId="42" borderId="45" xfId="58" applyNumberFormat="1" applyFont="1" applyFill="1" applyBorder="1" applyAlignment="1">
      <alignment horizontal="left"/>
      <protection/>
    </xf>
    <xf numFmtId="0" fontId="6" fillId="42" borderId="44" xfId="58" applyFont="1" applyFill="1" applyBorder="1">
      <alignment/>
      <protection/>
    </xf>
    <xf numFmtId="0" fontId="6" fillId="42" borderId="46" xfId="58" applyFont="1" applyFill="1" applyBorder="1">
      <alignment/>
      <protection/>
    </xf>
    <xf numFmtId="188" fontId="28" fillId="42" borderId="45" xfId="58" applyNumberFormat="1" applyFont="1" applyFill="1" applyBorder="1" applyAlignment="1">
      <alignment horizontal="left"/>
      <protection/>
    </xf>
    <xf numFmtId="0" fontId="6" fillId="42" borderId="46" xfId="58" applyFont="1" applyFill="1" applyBorder="1">
      <alignment/>
      <protection/>
    </xf>
    <xf numFmtId="0" fontId="6" fillId="42" borderId="43" xfId="58" applyFont="1" applyFill="1" applyBorder="1">
      <alignment/>
      <protection/>
    </xf>
    <xf numFmtId="0" fontId="6" fillId="42" borderId="47" xfId="58" applyFont="1" applyFill="1" applyBorder="1">
      <alignment/>
      <protection/>
    </xf>
    <xf numFmtId="0" fontId="6" fillId="42" borderId="48" xfId="58" applyFont="1" applyFill="1" applyBorder="1">
      <alignment/>
      <protection/>
    </xf>
    <xf numFmtId="0" fontId="6" fillId="42" borderId="43" xfId="58" applyFont="1" applyFill="1" applyBorder="1" applyAlignment="1">
      <alignment horizontal="left" wrapText="1"/>
      <protection/>
    </xf>
    <xf numFmtId="0" fontId="20" fillId="42" borderId="49" xfId="58" applyFont="1" applyFill="1" applyBorder="1" applyAlignment="1">
      <alignment horizontal="left"/>
      <protection/>
    </xf>
    <xf numFmtId="0" fontId="20" fillId="42" borderId="41" xfId="58" applyFont="1" applyFill="1" applyBorder="1" applyAlignment="1">
      <alignment horizontal="left"/>
      <protection/>
    </xf>
    <xf numFmtId="0" fontId="81" fillId="42" borderId="41" xfId="58" applyFont="1" applyFill="1" applyBorder="1" applyAlignment="1">
      <alignment horizontal="left"/>
      <protection/>
    </xf>
    <xf numFmtId="0" fontId="20" fillId="42" borderId="41" xfId="58" applyFont="1" applyFill="1" applyBorder="1" applyAlignment="1" quotePrefix="1">
      <alignment horizontal="left"/>
      <protection/>
    </xf>
    <xf numFmtId="0" fontId="20" fillId="42" borderId="43" xfId="58" applyFont="1" applyFill="1" applyBorder="1" applyAlignment="1">
      <alignment horizontal="left"/>
      <protection/>
    </xf>
    <xf numFmtId="0" fontId="81" fillId="42" borderId="49" xfId="58" applyFont="1" applyFill="1" applyBorder="1" applyAlignment="1">
      <alignment horizontal="left"/>
      <protection/>
    </xf>
    <xf numFmtId="0" fontId="20" fillId="42" borderId="47" xfId="58" applyFont="1" applyFill="1" applyBorder="1" applyAlignment="1">
      <alignment horizontal="left"/>
      <protection/>
    </xf>
    <xf numFmtId="0" fontId="20" fillId="42" borderId="43" xfId="58" applyFont="1" applyFill="1" applyBorder="1" applyAlignment="1">
      <alignment horizontal="left"/>
      <protection/>
    </xf>
    <xf numFmtId="0" fontId="81" fillId="42" borderId="43" xfId="58" applyFont="1" applyFill="1" applyBorder="1" applyAlignment="1">
      <alignment horizontal="left"/>
      <protection/>
    </xf>
    <xf numFmtId="0" fontId="249" fillId="37" borderId="23" xfId="60" applyFill="1" applyBorder="1">
      <alignment/>
      <protection/>
    </xf>
    <xf numFmtId="0" fontId="249" fillId="37" borderId="23" xfId="60" applyFill="1" applyBorder="1" applyAlignment="1">
      <alignment/>
      <protection/>
    </xf>
    <xf numFmtId="0" fontId="27" fillId="42" borderId="0" xfId="58" applyFont="1" applyFill="1" applyBorder="1">
      <alignment/>
      <protection/>
    </xf>
    <xf numFmtId="0" fontId="26" fillId="42" borderId="0" xfId="58" applyFont="1" applyFill="1" applyBorder="1">
      <alignment/>
      <protection/>
    </xf>
    <xf numFmtId="0" fontId="249" fillId="42" borderId="0" xfId="60" applyFill="1">
      <alignment/>
      <protection/>
    </xf>
    <xf numFmtId="0" fontId="249" fillId="42" borderId="0" xfId="60" applyFill="1" applyAlignment="1">
      <alignment/>
      <protection/>
    </xf>
    <xf numFmtId="0" fontId="59" fillId="42" borderId="0" xfId="58" applyFont="1" applyFill="1" applyAlignment="1">
      <alignment horizontal="center"/>
      <protection/>
    </xf>
    <xf numFmtId="0" fontId="6" fillId="42" borderId="0" xfId="60" applyFont="1" applyFill="1" applyAlignment="1">
      <alignment horizontal="left" vertical="center" wrapText="1"/>
      <protection/>
    </xf>
    <xf numFmtId="0" fontId="32" fillId="0" borderId="11" xfId="59"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87" fontId="93" fillId="42" borderId="50" xfId="66" applyNumberFormat="1" applyFont="1" applyFill="1" applyBorder="1" applyAlignment="1" applyProtection="1" quotePrefix="1">
      <alignment horizontal="right" vertical="center"/>
      <protection/>
    </xf>
    <xf numFmtId="0" fontId="6" fillId="35" borderId="0" xfId="58" applyFont="1" applyFill="1" applyAlignment="1">
      <alignment vertical="center"/>
      <protection/>
    </xf>
    <xf numFmtId="0" fontId="9" fillId="35" borderId="17" xfId="66" applyFont="1" applyFill="1" applyBorder="1" applyAlignment="1" quotePrefix="1">
      <alignment horizontal="right" vertical="center"/>
      <protection/>
    </xf>
    <xf numFmtId="187" fontId="12" fillId="35" borderId="51" xfId="66" applyNumberFormat="1" applyFont="1" applyFill="1" applyBorder="1" applyAlignment="1" quotePrefix="1">
      <alignment horizontal="right" vertical="center"/>
      <protection/>
    </xf>
    <xf numFmtId="0" fontId="6" fillId="35" borderId="52" xfId="66" applyFont="1" applyFill="1" applyBorder="1" applyAlignment="1">
      <alignment horizontal="left" vertical="center" wrapText="1"/>
      <protection/>
    </xf>
    <xf numFmtId="187" fontId="12" fillId="35" borderId="53" xfId="66" applyNumberFormat="1" applyFont="1" applyFill="1" applyBorder="1" applyAlignment="1" quotePrefix="1">
      <alignment horizontal="right" vertical="center"/>
      <protection/>
    </xf>
    <xf numFmtId="0" fontId="6" fillId="35" borderId="54" xfId="66" applyFont="1" applyFill="1" applyBorder="1" applyAlignment="1">
      <alignment horizontal="left" vertical="center" wrapText="1"/>
      <protection/>
    </xf>
    <xf numFmtId="0" fontId="6" fillId="35" borderId="55" xfId="66" applyFont="1" applyFill="1" applyBorder="1" applyAlignment="1">
      <alignment horizontal="left" vertical="center" wrapText="1"/>
      <protection/>
    </xf>
    <xf numFmtId="187" fontId="12" fillId="35" borderId="56" xfId="66" applyNumberFormat="1" applyFont="1" applyFill="1" applyBorder="1" applyAlignment="1" quotePrefix="1">
      <alignment horizontal="right" vertical="center"/>
      <protection/>
    </xf>
    <xf numFmtId="0" fontId="6" fillId="35" borderId="17" xfId="66" applyFont="1" applyFill="1" applyBorder="1" applyAlignment="1">
      <alignment horizontal="right" vertical="center"/>
      <protection/>
    </xf>
    <xf numFmtId="0" fontId="6" fillId="35" borderId="0" xfId="66" applyFont="1" applyFill="1" applyBorder="1" applyAlignment="1">
      <alignment horizontal="left" vertical="center" wrapText="1"/>
      <protection/>
    </xf>
    <xf numFmtId="187" fontId="9" fillId="35" borderId="17" xfId="66" applyNumberFormat="1" applyFont="1" applyFill="1" applyBorder="1" applyAlignment="1" quotePrefix="1">
      <alignment horizontal="right" vertical="center"/>
      <protection/>
    </xf>
    <xf numFmtId="0" fontId="9" fillId="35" borderId="0" xfId="66" applyFont="1" applyFill="1" applyBorder="1" applyAlignment="1">
      <alignment horizontal="right" vertical="center"/>
      <protection/>
    </xf>
    <xf numFmtId="0" fontId="9" fillId="35" borderId="0" xfId="66" applyFont="1" applyFill="1" applyBorder="1" applyAlignment="1" quotePrefix="1">
      <alignment horizontal="right" vertical="center"/>
      <protection/>
    </xf>
    <xf numFmtId="0" fontId="9" fillId="35" borderId="17" xfId="66" applyFont="1" applyFill="1" applyBorder="1" applyAlignment="1">
      <alignment horizontal="right" vertical="center"/>
      <protection/>
    </xf>
    <xf numFmtId="0" fontId="6" fillId="35" borderId="0" xfId="58" applyFont="1" applyFill="1" applyBorder="1" applyAlignment="1">
      <alignment vertical="center"/>
      <protection/>
    </xf>
    <xf numFmtId="0" fontId="6" fillId="35" borderId="0" xfId="58" applyFont="1" applyFill="1" applyAlignment="1">
      <alignment vertical="center" wrapText="1"/>
      <protection/>
    </xf>
    <xf numFmtId="0" fontId="6" fillId="35" borderId="0" xfId="58" applyFont="1" applyFill="1" applyBorder="1" applyAlignment="1">
      <alignment vertical="center" wrapText="1"/>
      <protection/>
    </xf>
    <xf numFmtId="0" fontId="6" fillId="35" borderId="0" xfId="58" applyFont="1" applyFill="1" applyAlignment="1" quotePrefix="1">
      <alignment vertical="center"/>
      <protection/>
    </xf>
    <xf numFmtId="0" fontId="6" fillId="35" borderId="0" xfId="58" applyFont="1" applyFill="1" applyAlignment="1" quotePrefix="1">
      <alignment horizontal="right" vertical="center"/>
      <protection/>
    </xf>
    <xf numFmtId="1" fontId="24" fillId="43" borderId="0" xfId="58" applyNumberFormat="1" applyFont="1" applyFill="1" applyAlignment="1">
      <alignment vertical="center"/>
      <protection/>
    </xf>
    <xf numFmtId="0" fontId="6" fillId="43" borderId="0" xfId="58" applyFont="1" applyFill="1" applyAlignment="1">
      <alignment vertical="center"/>
      <protection/>
    </xf>
    <xf numFmtId="0" fontId="7" fillId="35" borderId="0" xfId="58" applyFont="1" applyFill="1" applyProtection="1">
      <alignment/>
      <protection locked="0"/>
    </xf>
    <xf numFmtId="0" fontId="6" fillId="35" borderId="0" xfId="58" applyFont="1" applyFill="1" applyAlignment="1" applyProtection="1">
      <alignment vertical="center"/>
      <protection locked="0"/>
    </xf>
    <xf numFmtId="0" fontId="7" fillId="35" borderId="0" xfId="0" applyFont="1" applyFill="1" applyAlignment="1">
      <alignment vertical="center"/>
    </xf>
    <xf numFmtId="0" fontId="6" fillId="35" borderId="0" xfId="58" applyFont="1" applyFill="1" applyAlignment="1">
      <alignment horizontal="center" vertical="center"/>
      <protection/>
    </xf>
    <xf numFmtId="0" fontId="6" fillId="35" borderId="0" xfId="0" applyFont="1" applyFill="1" applyAlignment="1" quotePrefix="1">
      <alignment vertical="center"/>
    </xf>
    <xf numFmtId="0" fontId="6" fillId="35" borderId="0" xfId="0" applyFont="1" applyFill="1" applyAlignment="1">
      <alignment vertical="center"/>
    </xf>
    <xf numFmtId="186" fontId="6" fillId="35" borderId="0" xfId="58" applyNumberFormat="1" applyFont="1" applyFill="1" applyAlignment="1">
      <alignment vertical="center"/>
      <protection/>
    </xf>
    <xf numFmtId="187" fontId="12" fillId="35" borderId="57" xfId="66" applyNumberFormat="1" applyFont="1" applyFill="1" applyBorder="1" applyAlignment="1" quotePrefix="1">
      <alignment horizontal="right" vertical="center"/>
      <protection/>
    </xf>
    <xf numFmtId="0" fontId="6" fillId="35" borderId="58" xfId="66" applyFont="1" applyFill="1" applyBorder="1" applyAlignment="1">
      <alignment horizontal="left" vertical="center" wrapText="1"/>
      <protection/>
    </xf>
    <xf numFmtId="187" fontId="93" fillId="42" borderId="45" xfId="66" applyNumberFormat="1" applyFont="1" applyFill="1" applyBorder="1" applyAlignment="1" applyProtection="1" quotePrefix="1">
      <alignment horizontal="right" vertical="center"/>
      <protection/>
    </xf>
    <xf numFmtId="0" fontId="93" fillId="42" borderId="59" xfId="66" applyFont="1" applyFill="1" applyBorder="1" applyAlignment="1" applyProtection="1" quotePrefix="1">
      <alignment horizontal="left" vertical="center"/>
      <protection/>
    </xf>
    <xf numFmtId="0" fontId="93" fillId="42" borderId="60" xfId="66" applyFont="1" applyFill="1" applyBorder="1" applyAlignment="1" applyProtection="1" quotePrefix="1">
      <alignment horizontal="left" vertical="center"/>
      <protection/>
    </xf>
    <xf numFmtId="3" fontId="93" fillId="42" borderId="33" xfId="58" applyNumberFormat="1" applyFont="1" applyFill="1" applyBorder="1" applyAlignment="1" applyProtection="1">
      <alignment horizontal="right" vertical="center"/>
      <protection locked="0"/>
    </xf>
    <xf numFmtId="3" fontId="93" fillId="42" borderId="33" xfId="58" applyNumberFormat="1" applyFont="1" applyFill="1" applyBorder="1" applyAlignment="1" applyProtection="1">
      <alignment horizontal="right" vertical="center"/>
      <protection/>
    </xf>
    <xf numFmtId="0" fontId="6" fillId="35" borderId="61" xfId="66" applyFont="1" applyFill="1" applyBorder="1" applyAlignment="1">
      <alignment horizontal="left" vertical="center" wrapText="1"/>
      <protection/>
    </xf>
    <xf numFmtId="0" fontId="6" fillId="35" borderId="62" xfId="66" applyFont="1" applyFill="1" applyBorder="1" applyAlignment="1">
      <alignment horizontal="left" wrapText="1"/>
      <protection/>
    </xf>
    <xf numFmtId="0" fontId="6" fillId="35" borderId="55" xfId="66" applyFont="1" applyFill="1" applyBorder="1" applyAlignment="1">
      <alignment horizontal="left" wrapText="1"/>
      <protection/>
    </xf>
    <xf numFmtId="0" fontId="6" fillId="35" borderId="63" xfId="66" applyFont="1" applyFill="1" applyBorder="1" applyAlignment="1">
      <alignment horizontal="left" wrapText="1"/>
      <protection/>
    </xf>
    <xf numFmtId="0" fontId="6" fillId="35" borderId="64" xfId="66" applyFont="1" applyFill="1" applyBorder="1" applyAlignment="1">
      <alignment horizontal="left" vertical="center" wrapText="1"/>
      <protection/>
    </xf>
    <xf numFmtId="0" fontId="6" fillId="35" borderId="54" xfId="66" applyFont="1" applyFill="1" applyBorder="1" applyAlignment="1">
      <alignment vertical="center" wrapText="1"/>
      <protection/>
    </xf>
    <xf numFmtId="0" fontId="6" fillId="35" borderId="64" xfId="66" applyFont="1" applyFill="1" applyBorder="1" applyAlignment="1">
      <alignment vertical="center" wrapText="1"/>
      <protection/>
    </xf>
    <xf numFmtId="0" fontId="6" fillId="35" borderId="61" xfId="66" applyFont="1" applyFill="1" applyBorder="1" applyAlignment="1">
      <alignment vertical="center" wrapText="1"/>
      <protection/>
    </xf>
    <xf numFmtId="0" fontId="11" fillId="35" borderId="52" xfId="66" applyFont="1" applyFill="1" applyBorder="1" applyAlignment="1">
      <alignment horizontal="left" vertical="center" wrapText="1"/>
      <protection/>
    </xf>
    <xf numFmtId="0" fontId="11" fillId="35" borderId="61" xfId="66" applyFont="1" applyFill="1" applyBorder="1" applyAlignment="1">
      <alignment vertical="center" wrapText="1"/>
      <protection/>
    </xf>
    <xf numFmtId="0" fontId="11" fillId="35" borderId="54" xfId="66" applyFont="1" applyFill="1" applyBorder="1" applyAlignment="1">
      <alignment vertical="center" wrapText="1"/>
      <protection/>
    </xf>
    <xf numFmtId="0" fontId="6" fillId="35" borderId="52" xfId="66" applyFont="1" applyFill="1" applyBorder="1" applyAlignment="1">
      <alignment horizontal="left"/>
      <protection/>
    </xf>
    <xf numFmtId="0" fontId="6" fillId="35" borderId="61" xfId="66" applyFont="1" applyFill="1" applyBorder="1" applyAlignment="1">
      <alignment horizontal="left"/>
      <protection/>
    </xf>
    <xf numFmtId="0" fontId="15" fillId="35" borderId="54" xfId="66" applyFont="1" applyFill="1" applyBorder="1" applyAlignment="1">
      <alignment horizontal="left" vertical="center" wrapText="1"/>
      <protection/>
    </xf>
    <xf numFmtId="0" fontId="11" fillId="35" borderId="61" xfId="66" applyFont="1" applyFill="1" applyBorder="1" applyAlignment="1">
      <alignment horizontal="left" vertical="center" wrapText="1"/>
      <protection/>
    </xf>
    <xf numFmtId="0" fontId="11" fillId="35" borderId="65" xfId="66" applyFont="1" applyFill="1" applyBorder="1" applyAlignment="1">
      <alignment vertical="center" wrapText="1"/>
      <protection/>
    </xf>
    <xf numFmtId="0" fontId="6" fillId="35" borderId="52" xfId="66" applyFont="1" applyFill="1" applyBorder="1">
      <alignment/>
      <protection/>
    </xf>
    <xf numFmtId="0" fontId="6" fillId="35" borderId="54" xfId="66" applyFont="1" applyFill="1" applyBorder="1">
      <alignment/>
      <protection/>
    </xf>
    <xf numFmtId="0" fontId="6" fillId="35" borderId="61" xfId="66" applyFont="1" applyFill="1" applyBorder="1">
      <alignment/>
      <protection/>
    </xf>
    <xf numFmtId="0" fontId="11" fillId="35" borderId="52" xfId="66" applyFont="1" applyFill="1" applyBorder="1" applyAlignment="1">
      <alignment horizontal="left" vertical="center" wrapText="1"/>
      <protection/>
    </xf>
    <xf numFmtId="0" fontId="11" fillId="35" borderId="64" xfId="66" applyFont="1" applyFill="1" applyBorder="1" applyAlignment="1">
      <alignment horizontal="left" vertical="center" wrapText="1"/>
      <protection/>
    </xf>
    <xf numFmtId="0" fontId="15" fillId="35" borderId="52" xfId="66" applyFont="1" applyFill="1" applyBorder="1" applyAlignment="1">
      <alignment horizontal="left" vertical="center" wrapText="1"/>
      <protection/>
    </xf>
    <xf numFmtId="0" fontId="15" fillId="35" borderId="61" xfId="66" applyFont="1" applyFill="1" applyBorder="1" applyAlignment="1">
      <alignment vertical="center" wrapText="1"/>
      <protection/>
    </xf>
    <xf numFmtId="0" fontId="15" fillId="35" borderId="55" xfId="66" applyFont="1" applyFill="1" applyBorder="1" applyAlignment="1">
      <alignment horizontal="left" wrapText="1"/>
      <protection/>
    </xf>
    <xf numFmtId="0" fontId="6" fillId="44" borderId="0" xfId="58" applyFont="1" applyFill="1" applyAlignment="1">
      <alignment vertical="center"/>
      <protection/>
    </xf>
    <xf numFmtId="0" fontId="14" fillId="44" borderId="0" xfId="58" applyFont="1" applyFill="1" applyAlignment="1">
      <alignment vertical="center"/>
      <protection/>
    </xf>
    <xf numFmtId="0" fontId="13" fillId="44" borderId="0" xfId="58" applyFont="1" applyFill="1" applyAlignment="1">
      <alignment vertical="center"/>
      <protection/>
    </xf>
    <xf numFmtId="0" fontId="13" fillId="44" borderId="0" xfId="66" applyFont="1" applyFill="1" applyBorder="1">
      <alignment/>
      <protection/>
    </xf>
    <xf numFmtId="0" fontId="6" fillId="44" borderId="0" xfId="66" applyFont="1" applyFill="1" applyBorder="1">
      <alignment/>
      <protection/>
    </xf>
    <xf numFmtId="184" fontId="6" fillId="44" borderId="0" xfId="66" applyNumberFormat="1" applyFont="1" applyFill="1">
      <alignment/>
      <protection/>
    </xf>
    <xf numFmtId="184" fontId="6" fillId="44" borderId="0" xfId="66" applyNumberFormat="1" applyFont="1" applyFill="1" applyProtection="1">
      <alignment/>
      <protection locked="0"/>
    </xf>
    <xf numFmtId="184" fontId="9" fillId="44" borderId="0" xfId="66" applyNumberFormat="1" applyFont="1" applyFill="1">
      <alignment/>
      <protection/>
    </xf>
    <xf numFmtId="0" fontId="6" fillId="44" borderId="0" xfId="66" applyFont="1" applyFill="1">
      <alignment/>
      <protection/>
    </xf>
    <xf numFmtId="0" fontId="14" fillId="44" borderId="0" xfId="58" applyFont="1" applyFill="1" applyBorder="1" applyAlignment="1">
      <alignment vertical="center"/>
      <protection/>
    </xf>
    <xf numFmtId="0" fontId="6" fillId="44" borderId="0" xfId="58" applyFont="1" applyFill="1" applyBorder="1" applyAlignment="1">
      <alignment vertical="center"/>
      <protection/>
    </xf>
    <xf numFmtId="0" fontId="13" fillId="44" borderId="0" xfId="58" applyFont="1" applyFill="1">
      <alignment/>
      <protection/>
    </xf>
    <xf numFmtId="0" fontId="6" fillId="44" borderId="0" xfId="58" applyFont="1" applyFill="1">
      <alignment/>
      <protection/>
    </xf>
    <xf numFmtId="184" fontId="6" fillId="44" borderId="0" xfId="66" applyNumberFormat="1" applyFont="1" applyFill="1" applyBorder="1">
      <alignment/>
      <protection/>
    </xf>
    <xf numFmtId="184" fontId="9" fillId="44" borderId="0" xfId="66" applyNumberFormat="1" applyFont="1" applyFill="1" applyBorder="1">
      <alignment/>
      <protection/>
    </xf>
    <xf numFmtId="0" fontId="13" fillId="44" borderId="0" xfId="66" applyFont="1" applyFill="1">
      <alignment/>
      <protection/>
    </xf>
    <xf numFmtId="184" fontId="10" fillId="44" borderId="0" xfId="66" applyNumberFormat="1" applyFont="1" applyFill="1" applyBorder="1">
      <alignment/>
      <protection/>
    </xf>
    <xf numFmtId="184" fontId="13" fillId="44" borderId="0" xfId="66" applyNumberFormat="1" applyFont="1" applyFill="1" applyBorder="1">
      <alignment/>
      <protection/>
    </xf>
    <xf numFmtId="184" fontId="13" fillId="44" borderId="0" xfId="66" applyNumberFormat="1" applyFont="1" applyFill="1" applyBorder="1" applyProtection="1">
      <alignment/>
      <protection locked="0"/>
    </xf>
    <xf numFmtId="184" fontId="13" fillId="44" borderId="0" xfId="66" applyNumberFormat="1" applyFont="1" applyFill="1">
      <alignment/>
      <protection/>
    </xf>
    <xf numFmtId="184" fontId="13" fillId="44" borderId="0" xfId="66" applyNumberFormat="1" applyFont="1" applyFill="1" applyProtection="1">
      <alignment/>
      <protection locked="0"/>
    </xf>
    <xf numFmtId="184" fontId="10" fillId="44" borderId="0" xfId="66" applyNumberFormat="1" applyFont="1" applyFill="1">
      <alignment/>
      <protection/>
    </xf>
    <xf numFmtId="184" fontId="6" fillId="44" borderId="0" xfId="66" applyNumberFormat="1" applyFont="1" applyFill="1" applyBorder="1">
      <alignment/>
      <protection/>
    </xf>
    <xf numFmtId="184" fontId="6" fillId="44" borderId="0" xfId="66" applyNumberFormat="1" applyFont="1" applyFill="1" applyBorder="1" applyProtection="1">
      <alignment/>
      <protection locked="0"/>
    </xf>
    <xf numFmtId="184" fontId="14" fillId="44" borderId="0" xfId="66" applyNumberFormat="1" applyFont="1" applyFill="1" applyBorder="1">
      <alignment/>
      <protection/>
    </xf>
    <xf numFmtId="0" fontId="6" fillId="44" borderId="0" xfId="66" applyFont="1" applyFill="1" applyBorder="1">
      <alignment/>
      <protection/>
    </xf>
    <xf numFmtId="0" fontId="6" fillId="44" borderId="0" xfId="66" applyFont="1" applyFill="1">
      <alignment/>
      <protection/>
    </xf>
    <xf numFmtId="0" fontId="6" fillId="44" borderId="0" xfId="58" applyFont="1" applyFill="1" applyAlignment="1" applyProtection="1">
      <alignment vertical="center"/>
      <protection locked="0"/>
    </xf>
    <xf numFmtId="0" fontId="14" fillId="35" borderId="0" xfId="58" applyFont="1" applyFill="1" applyAlignment="1" quotePrefix="1">
      <alignment vertical="center"/>
      <protection/>
    </xf>
    <xf numFmtId="187" fontId="12" fillId="35" borderId="66" xfId="66" applyNumberFormat="1" applyFont="1" applyFill="1" applyBorder="1" applyAlignment="1" quotePrefix="1">
      <alignment horizontal="right" vertical="center"/>
      <protection/>
    </xf>
    <xf numFmtId="187" fontId="12" fillId="35" borderId="67" xfId="66" applyNumberFormat="1" applyFont="1" applyFill="1" applyBorder="1" applyAlignment="1" quotePrefix="1">
      <alignment horizontal="right" vertical="center"/>
      <protection/>
    </xf>
    <xf numFmtId="0" fontId="11" fillId="35" borderId="68" xfId="58" applyFont="1" applyFill="1" applyBorder="1" applyAlignment="1">
      <alignment vertical="center" wrapText="1"/>
      <protection/>
    </xf>
    <xf numFmtId="184" fontId="6" fillId="35" borderId="17" xfId="66" applyNumberFormat="1" applyFont="1" applyFill="1" applyBorder="1" applyAlignment="1">
      <alignment horizontal="right" vertical="center"/>
      <protection/>
    </xf>
    <xf numFmtId="3" fontId="6" fillId="35" borderId="69" xfId="58" applyNumberFormat="1" applyFont="1" applyFill="1" applyBorder="1" applyAlignment="1" applyProtection="1">
      <alignment horizontal="right" vertical="center"/>
      <protection/>
    </xf>
    <xf numFmtId="3" fontId="6" fillId="35" borderId="70" xfId="58" applyNumberFormat="1" applyFont="1" applyFill="1" applyBorder="1" applyAlignment="1" applyProtection="1">
      <alignment horizontal="right" vertical="center"/>
      <protection/>
    </xf>
    <xf numFmtId="3" fontId="6" fillId="35" borderId="0" xfId="58" applyNumberFormat="1" applyFont="1" applyFill="1" applyBorder="1" applyAlignment="1" applyProtection="1">
      <alignment horizontal="right" vertical="center"/>
      <protection/>
    </xf>
    <xf numFmtId="3" fontId="6" fillId="35" borderId="22" xfId="58" applyNumberFormat="1" applyFont="1" applyFill="1" applyBorder="1" applyAlignment="1" applyProtection="1">
      <alignment horizontal="right" vertical="center"/>
      <protection/>
    </xf>
    <xf numFmtId="0" fontId="151" fillId="45" borderId="16" xfId="58" applyFont="1" applyFill="1" applyBorder="1" applyAlignment="1">
      <alignment horizontal="center" vertical="center"/>
      <protection/>
    </xf>
    <xf numFmtId="0" fontId="14" fillId="35" borderId="0" xfId="58" applyFont="1" applyFill="1" applyAlignment="1">
      <alignment horizontal="left" vertical="center"/>
      <protection/>
    </xf>
    <xf numFmtId="0" fontId="151" fillId="45" borderId="71" xfId="66" applyFont="1" applyFill="1" applyBorder="1" applyAlignment="1">
      <alignment horizontal="left" vertical="center" wrapText="1"/>
      <protection/>
    </xf>
    <xf numFmtId="0" fontId="152" fillId="45" borderId="72" xfId="66" applyFont="1" applyFill="1" applyBorder="1" applyAlignment="1">
      <alignment horizontal="center" vertical="center" wrapText="1"/>
      <protection/>
    </xf>
    <xf numFmtId="0" fontId="151" fillId="45" borderId="73" xfId="58" applyFont="1" applyFill="1" applyBorder="1" applyAlignment="1">
      <alignment horizontal="center" vertical="center" wrapText="1"/>
      <protection/>
    </xf>
    <xf numFmtId="3" fontId="93" fillId="42" borderId="37" xfId="58" applyNumberFormat="1" applyFont="1" applyFill="1" applyBorder="1" applyAlignment="1" applyProtection="1">
      <alignment horizontal="right" vertical="center"/>
      <protection/>
    </xf>
    <xf numFmtId="0" fontId="151" fillId="45" borderId="71" xfId="58" applyFont="1" applyFill="1" applyBorder="1" applyAlignment="1" applyProtection="1">
      <alignment horizontal="center" vertical="center"/>
      <protection/>
    </xf>
    <xf numFmtId="0" fontId="153" fillId="45" borderId="72" xfId="0" applyFont="1" applyFill="1" applyBorder="1" applyAlignment="1">
      <alignment horizontal="center" vertical="center"/>
    </xf>
    <xf numFmtId="0" fontId="154" fillId="45" borderId="72" xfId="58" applyFont="1" applyFill="1" applyBorder="1" applyAlignment="1">
      <alignment horizontal="center" vertical="center"/>
      <protection/>
    </xf>
    <xf numFmtId="0" fontId="64" fillId="45" borderId="73" xfId="58" applyFont="1" applyFill="1" applyBorder="1" applyAlignment="1">
      <alignment horizontal="center" vertical="center"/>
      <protection/>
    </xf>
    <xf numFmtId="3" fontId="32" fillId="35" borderId="74" xfId="58" applyNumberFormat="1" applyFont="1" applyFill="1" applyBorder="1" applyAlignment="1" quotePrefix="1">
      <alignment horizontal="center" vertical="center"/>
      <protection/>
    </xf>
    <xf numFmtId="3" fontId="32" fillId="35" borderId="75" xfId="58" applyNumberFormat="1" applyFont="1" applyFill="1" applyBorder="1" applyAlignment="1" applyProtection="1" quotePrefix="1">
      <alignment horizontal="center" vertical="center"/>
      <protection/>
    </xf>
    <xf numFmtId="3" fontId="32" fillId="35" borderId="75" xfId="58" applyNumberFormat="1" applyFont="1" applyFill="1" applyBorder="1" applyAlignment="1" quotePrefix="1">
      <alignment horizontal="center" vertical="center"/>
      <protection/>
    </xf>
    <xf numFmtId="3" fontId="20" fillId="35" borderId="76" xfId="58" applyNumberFormat="1" applyFont="1" applyFill="1" applyBorder="1" applyAlignment="1" applyProtection="1" quotePrefix="1">
      <alignment horizontal="center" vertical="center"/>
      <protection/>
    </xf>
    <xf numFmtId="0" fontId="30" fillId="35" borderId="50" xfId="58" applyFont="1" applyFill="1" applyBorder="1" applyAlignment="1">
      <alignment vertical="center"/>
      <protection/>
    </xf>
    <xf numFmtId="0" fontId="30" fillId="35" borderId="77" xfId="58" applyFont="1" applyFill="1" applyBorder="1" applyAlignment="1">
      <alignment horizontal="center" vertical="center"/>
      <protection/>
    </xf>
    <xf numFmtId="0" fontId="154" fillId="35" borderId="76" xfId="58" applyFont="1" applyFill="1" applyBorder="1" applyAlignment="1">
      <alignment horizontal="left" vertical="center" wrapText="1"/>
      <protection/>
    </xf>
    <xf numFmtId="3" fontId="38" fillId="35" borderId="37" xfId="58" applyNumberFormat="1" applyFont="1" applyFill="1" applyBorder="1" applyAlignment="1" quotePrefix="1">
      <alignment horizontal="center" vertical="center"/>
      <protection/>
    </xf>
    <xf numFmtId="3" fontId="38" fillId="35" borderId="37" xfId="58" applyNumberFormat="1" applyFont="1" applyFill="1" applyBorder="1" applyAlignment="1" applyProtection="1" quotePrefix="1">
      <alignment horizontal="center" vertical="center"/>
      <protection/>
    </xf>
    <xf numFmtId="0" fontId="151" fillId="45" borderId="78" xfId="58" applyFont="1" applyFill="1" applyBorder="1" applyAlignment="1">
      <alignment horizontal="center" vertical="center"/>
      <protection/>
    </xf>
    <xf numFmtId="0" fontId="151" fillId="45" borderId="23" xfId="58" applyFont="1" applyFill="1" applyBorder="1" applyAlignment="1">
      <alignment horizontal="center" vertical="center"/>
      <protection/>
    </xf>
    <xf numFmtId="0" fontId="40" fillId="0" borderId="21" xfId="66" applyFont="1" applyFill="1" applyBorder="1" applyAlignment="1">
      <alignment horizontal="center" vertical="center" wrapText="1"/>
      <protection/>
    </xf>
    <xf numFmtId="0" fontId="51" fillId="45" borderId="37" xfId="58" applyFont="1" applyFill="1" applyBorder="1" applyAlignment="1">
      <alignment horizontal="center" vertical="center"/>
      <protection/>
    </xf>
    <xf numFmtId="0" fontId="151" fillId="45" borderId="37" xfId="58" applyFont="1" applyFill="1" applyBorder="1" applyAlignment="1" applyProtection="1">
      <alignment horizontal="center" vertical="center"/>
      <protection/>
    </xf>
    <xf numFmtId="0" fontId="14" fillId="35" borderId="0" xfId="58" applyFont="1" applyFill="1" applyAlignment="1" quotePrefix="1">
      <alignment horizontal="right" vertical="center"/>
      <protection/>
    </xf>
    <xf numFmtId="3" fontId="14" fillId="45" borderId="79" xfId="58" applyNumberFormat="1" applyFont="1" applyFill="1" applyBorder="1" applyAlignment="1" applyProtection="1">
      <alignment horizontal="right" vertical="center"/>
      <protection/>
    </xf>
    <xf numFmtId="0" fontId="9" fillId="35" borderId="50" xfId="66" applyFont="1" applyFill="1" applyBorder="1" applyAlignment="1" quotePrefix="1">
      <alignment horizontal="right" vertical="center"/>
      <protection/>
    </xf>
    <xf numFmtId="0" fontId="99" fillId="0" borderId="0" xfId="58" applyFont="1" applyBorder="1" applyAlignment="1">
      <alignment vertical="center"/>
      <protection/>
    </xf>
    <xf numFmtId="0" fontId="99" fillId="44" borderId="0" xfId="58" applyFont="1" applyFill="1" applyBorder="1" applyAlignment="1">
      <alignment vertical="center"/>
      <protection/>
    </xf>
    <xf numFmtId="0" fontId="82" fillId="0" borderId="0" xfId="0" applyFont="1" applyAlignment="1" applyProtection="1">
      <alignment/>
      <protection/>
    </xf>
    <xf numFmtId="0" fontId="37" fillId="0" borderId="0" xfId="0" applyFont="1" applyAlignment="1" applyProtection="1">
      <alignment/>
      <protection/>
    </xf>
    <xf numFmtId="0" fontId="82" fillId="0" borderId="80" xfId="0" applyFont="1" applyBorder="1" applyAlignment="1" applyProtection="1">
      <alignment/>
      <protection/>
    </xf>
    <xf numFmtId="0" fontId="82" fillId="0" borderId="0" xfId="0" applyFont="1" applyBorder="1" applyAlignment="1" applyProtection="1">
      <alignment/>
      <protection/>
    </xf>
    <xf numFmtId="49" fontId="82" fillId="0" borderId="0" xfId="0" applyNumberFormat="1" applyFont="1" applyBorder="1" applyAlignment="1" applyProtection="1">
      <alignment horizontal="center"/>
      <protection/>
    </xf>
    <xf numFmtId="0" fontId="30" fillId="0" borderId="0" xfId="0" applyFont="1" applyBorder="1" applyAlignment="1" applyProtection="1">
      <alignment/>
      <protection/>
    </xf>
    <xf numFmtId="0" fontId="30" fillId="0" borderId="24" xfId="0" applyFont="1" applyBorder="1" applyAlignment="1" applyProtection="1">
      <alignment/>
      <protection/>
    </xf>
    <xf numFmtId="0" fontId="40" fillId="0" borderId="0" xfId="0" applyFont="1" applyBorder="1" applyAlignment="1" applyProtection="1">
      <alignment/>
      <protection/>
    </xf>
    <xf numFmtId="0" fontId="40" fillId="0" borderId="24" xfId="0" applyFont="1" applyBorder="1" applyAlignment="1" applyProtection="1">
      <alignment/>
      <protection/>
    </xf>
    <xf numFmtId="0" fontId="30" fillId="0" borderId="0" xfId="0" applyFont="1" applyAlignment="1" applyProtection="1">
      <alignment/>
      <protection/>
    </xf>
    <xf numFmtId="184" fontId="40" fillId="0" borderId="37" xfId="0" applyNumberFormat="1" applyFont="1" applyFill="1" applyBorder="1" applyAlignment="1" applyProtection="1">
      <alignment horizontal="center" vertical="center" wrapText="1"/>
      <protection/>
    </xf>
    <xf numFmtId="0" fontId="40" fillId="0" borderId="18" xfId="0" applyFont="1" applyBorder="1" applyAlignment="1" applyProtection="1">
      <alignment horizontal="center"/>
      <protection/>
    </xf>
    <xf numFmtId="0" fontId="40" fillId="0" borderId="37" xfId="0" applyFont="1" applyBorder="1" applyAlignment="1" applyProtection="1">
      <alignment horizontal="center"/>
      <protection/>
    </xf>
    <xf numFmtId="0" fontId="82" fillId="0" borderId="30" xfId="0" applyFont="1" applyBorder="1" applyAlignment="1" applyProtection="1" quotePrefix="1">
      <alignment horizontal="center"/>
      <protection/>
    </xf>
    <xf numFmtId="0" fontId="40" fillId="0" borderId="22" xfId="0" applyFont="1" applyBorder="1" applyAlignment="1" applyProtection="1">
      <alignment/>
      <protection/>
    </xf>
    <xf numFmtId="1" fontId="40" fillId="0" borderId="30" xfId="0" applyNumberFormat="1" applyFont="1" applyBorder="1" applyAlignment="1" applyProtection="1">
      <alignment/>
      <protection/>
    </xf>
    <xf numFmtId="184" fontId="30" fillId="0" borderId="77" xfId="0" applyNumberFormat="1" applyFont="1" applyBorder="1" applyAlignment="1" applyProtection="1">
      <alignment/>
      <protection/>
    </xf>
    <xf numFmtId="1" fontId="40" fillId="0" borderId="16" xfId="0" applyNumberFormat="1" applyFont="1" applyBorder="1" applyAlignment="1" applyProtection="1">
      <alignment/>
      <protection/>
    </xf>
    <xf numFmtId="184" fontId="30" fillId="0" borderId="0" xfId="0" applyNumberFormat="1" applyFont="1" applyBorder="1" applyAlignment="1" applyProtection="1">
      <alignment/>
      <protection/>
    </xf>
    <xf numFmtId="1" fontId="40" fillId="0" borderId="32" xfId="0" applyNumberFormat="1" applyFont="1" applyBorder="1" applyAlignment="1" applyProtection="1">
      <alignment/>
      <protection/>
    </xf>
    <xf numFmtId="1" fontId="40" fillId="0" borderId="33" xfId="0" applyNumberFormat="1" applyFont="1" applyBorder="1" applyAlignment="1" applyProtection="1">
      <alignment/>
      <protection/>
    </xf>
    <xf numFmtId="1" fontId="40" fillId="0" borderId="37" xfId="0" applyNumberFormat="1" applyFont="1" applyBorder="1" applyAlignment="1" applyProtection="1">
      <alignment/>
      <protection/>
    </xf>
    <xf numFmtId="1" fontId="40" fillId="0" borderId="35" xfId="0" applyNumberFormat="1" applyFont="1" applyBorder="1" applyAlignment="1" applyProtection="1">
      <alignment/>
      <protection/>
    </xf>
    <xf numFmtId="1" fontId="40" fillId="0" borderId="10" xfId="0" applyNumberFormat="1" applyFont="1" applyBorder="1" applyAlignment="1" applyProtection="1">
      <alignment/>
      <protection/>
    </xf>
    <xf numFmtId="1" fontId="30" fillId="0" borderId="10" xfId="0" applyNumberFormat="1" applyFont="1" applyBorder="1" applyAlignment="1" applyProtection="1" quotePrefix="1">
      <alignment/>
      <protection/>
    </xf>
    <xf numFmtId="1" fontId="30" fillId="0" borderId="18" xfId="0" applyNumberFormat="1" applyFont="1" applyBorder="1" applyAlignment="1" applyProtection="1" quotePrefix="1">
      <alignment/>
      <protection/>
    </xf>
    <xf numFmtId="1" fontId="40" fillId="0" borderId="36" xfId="0" applyNumberFormat="1" applyFont="1" applyBorder="1" applyAlignment="1" applyProtection="1">
      <alignment/>
      <protection/>
    </xf>
    <xf numFmtId="184" fontId="30" fillId="0" borderId="0" xfId="0" applyNumberFormat="1" applyFont="1" applyAlignment="1" applyProtection="1">
      <alignment/>
      <protection/>
    </xf>
    <xf numFmtId="1" fontId="40" fillId="0" borderId="12" xfId="0" applyNumberFormat="1" applyFont="1" applyBorder="1" applyAlignment="1" applyProtection="1">
      <alignment/>
      <protection/>
    </xf>
    <xf numFmtId="1" fontId="40" fillId="0" borderId="81" xfId="0" applyNumberFormat="1" applyFont="1" applyBorder="1" applyAlignment="1" applyProtection="1">
      <alignment/>
      <protection/>
    </xf>
    <xf numFmtId="1" fontId="30" fillId="0" borderId="37" xfId="0" applyNumberFormat="1" applyFont="1" applyBorder="1" applyAlignment="1" applyProtection="1" quotePrefix="1">
      <alignment/>
      <protection/>
    </xf>
    <xf numFmtId="1" fontId="30" fillId="0" borderId="33" xfId="0" applyNumberFormat="1" applyFont="1" applyBorder="1" applyAlignment="1" applyProtection="1" quotePrefix="1">
      <alignment/>
      <protection/>
    </xf>
    <xf numFmtId="1" fontId="30" fillId="0" borderId="22" xfId="0" applyNumberFormat="1" applyFont="1" applyBorder="1" applyAlignment="1" applyProtection="1" quotePrefix="1">
      <alignment/>
      <protection/>
    </xf>
    <xf numFmtId="1" fontId="30" fillId="0" borderId="82" xfId="0" applyNumberFormat="1" applyFont="1" applyBorder="1" applyAlignment="1" applyProtection="1" quotePrefix="1">
      <alignment/>
      <protection/>
    </xf>
    <xf numFmtId="1" fontId="40" fillId="0" borderId="30" xfId="0" applyNumberFormat="1" applyFont="1" applyBorder="1" applyAlignment="1" applyProtection="1">
      <alignment horizontal="right"/>
      <protection/>
    </xf>
    <xf numFmtId="1" fontId="40" fillId="0" borderId="18" xfId="0" applyNumberFormat="1" applyFont="1" applyBorder="1" applyAlignment="1" applyProtection="1">
      <alignment horizontal="right"/>
      <protection/>
    </xf>
    <xf numFmtId="1" fontId="40" fillId="0" borderId="31" xfId="0" applyNumberFormat="1" applyFont="1" applyBorder="1" applyAlignment="1" applyProtection="1">
      <alignment/>
      <protection/>
    </xf>
    <xf numFmtId="1" fontId="40" fillId="0" borderId="10" xfId="0" applyNumberFormat="1" applyFont="1" applyBorder="1" applyAlignment="1" applyProtection="1">
      <alignment/>
      <protection/>
    </xf>
    <xf numFmtId="1" fontId="40" fillId="0" borderId="12" xfId="0" applyNumberFormat="1" applyFont="1" applyBorder="1" applyAlignment="1" applyProtection="1">
      <alignment/>
      <protection/>
    </xf>
    <xf numFmtId="1" fontId="40" fillId="0" borderId="0" xfId="0" applyNumberFormat="1" applyFont="1" applyBorder="1" applyAlignment="1" applyProtection="1">
      <alignment/>
      <protection/>
    </xf>
    <xf numFmtId="3" fontId="25" fillId="35" borderId="37" xfId="58" applyNumberFormat="1" applyFont="1" applyFill="1" applyBorder="1" applyAlignment="1" applyProtection="1" quotePrefix="1">
      <alignment horizontal="center" vertical="center"/>
      <protection/>
    </xf>
    <xf numFmtId="0" fontId="6" fillId="37" borderId="0" xfId="58" applyFont="1" applyFill="1" applyAlignment="1">
      <alignment vertical="center"/>
      <protection/>
    </xf>
    <xf numFmtId="3" fontId="20" fillId="35" borderId="78" xfId="58" applyNumberFormat="1" applyFont="1" applyFill="1" applyBorder="1" applyAlignment="1" applyProtection="1" quotePrefix="1">
      <alignment horizontal="center" vertical="center"/>
      <protection/>
    </xf>
    <xf numFmtId="3" fontId="20" fillId="35" borderId="23" xfId="58" applyNumberFormat="1" applyFont="1" applyFill="1" applyBorder="1" applyAlignment="1" applyProtection="1" quotePrefix="1">
      <alignment horizontal="center" vertical="center"/>
      <protection/>
    </xf>
    <xf numFmtId="3" fontId="20" fillId="35" borderId="21" xfId="58" applyNumberFormat="1" applyFont="1" applyFill="1" applyBorder="1" applyAlignment="1" applyProtection="1" quotePrefix="1">
      <alignment horizontal="center" vertical="center"/>
      <protection/>
    </xf>
    <xf numFmtId="3" fontId="94" fillId="42" borderId="33" xfId="58" applyNumberFormat="1" applyFont="1" applyFill="1" applyBorder="1" applyAlignment="1" applyProtection="1">
      <alignment horizontal="right" vertical="center"/>
      <protection/>
    </xf>
    <xf numFmtId="3" fontId="94" fillId="42" borderId="81" xfId="58" applyNumberFormat="1" applyFont="1" applyFill="1" applyBorder="1" applyAlignment="1" applyProtection="1">
      <alignment horizontal="right" vertical="center"/>
      <protection/>
    </xf>
    <xf numFmtId="3" fontId="94" fillId="42" borderId="33" xfId="58" applyNumberFormat="1" applyFont="1" applyFill="1" applyBorder="1" applyAlignment="1" applyProtection="1">
      <alignment horizontal="right" vertical="center"/>
      <protection/>
    </xf>
    <xf numFmtId="3" fontId="94" fillId="42" borderId="81" xfId="58" applyNumberFormat="1" applyFont="1" applyFill="1" applyBorder="1" applyAlignment="1" applyProtection="1">
      <alignment horizontal="right" vertical="center"/>
      <protection/>
    </xf>
    <xf numFmtId="0" fontId="13" fillId="42" borderId="0" xfId="58" applyFont="1" applyFill="1" applyAlignment="1">
      <alignment vertical="center"/>
      <protection/>
    </xf>
    <xf numFmtId="0" fontId="11" fillId="35" borderId="54" xfId="66" applyFont="1" applyFill="1" applyBorder="1" applyAlignment="1">
      <alignment horizontal="left" vertical="center" wrapText="1"/>
      <protection/>
    </xf>
    <xf numFmtId="0" fontId="6" fillId="35" borderId="52" xfId="66" applyFont="1" applyFill="1" applyBorder="1" applyAlignment="1">
      <alignment vertical="center" wrapText="1"/>
      <protection/>
    </xf>
    <xf numFmtId="187" fontId="12" fillId="35" borderId="83" xfId="66" applyNumberFormat="1" applyFont="1" applyFill="1" applyBorder="1" applyAlignment="1" quotePrefix="1">
      <alignment horizontal="right" vertical="center"/>
      <protection/>
    </xf>
    <xf numFmtId="0" fontId="6" fillId="35" borderId="84" xfId="66" applyFont="1" applyFill="1" applyBorder="1" applyAlignment="1">
      <alignment horizontal="left" vertical="center" wrapText="1"/>
      <protection/>
    </xf>
    <xf numFmtId="187" fontId="12" fillId="35" borderId="85" xfId="66" applyNumberFormat="1" applyFont="1" applyFill="1" applyBorder="1" applyAlignment="1" quotePrefix="1">
      <alignment horizontal="right" vertical="center"/>
      <protection/>
    </xf>
    <xf numFmtId="0" fontId="11" fillId="35" borderId="86" xfId="66" applyFont="1" applyFill="1" applyBorder="1" applyAlignment="1">
      <alignment horizontal="left" vertical="center" wrapText="1"/>
      <protection/>
    </xf>
    <xf numFmtId="0" fontId="11" fillId="35" borderId="54" xfId="66" applyFont="1" applyFill="1" applyBorder="1" applyAlignment="1">
      <alignment horizontal="left" vertical="center" wrapText="1"/>
      <protection/>
    </xf>
    <xf numFmtId="0" fontId="11" fillId="35" borderId="61" xfId="66" applyFont="1" applyFill="1" applyBorder="1" applyAlignment="1">
      <alignment horizontal="left" vertical="center" wrapText="1"/>
      <protection/>
    </xf>
    <xf numFmtId="0" fontId="11" fillId="35" borderId="52" xfId="66" applyFont="1" applyFill="1" applyBorder="1" applyAlignment="1">
      <alignment vertical="center" wrapText="1"/>
      <protection/>
    </xf>
    <xf numFmtId="0" fontId="155" fillId="45" borderId="71" xfId="58" applyFont="1" applyFill="1" applyBorder="1" applyAlignment="1" applyProtection="1">
      <alignment horizontal="center" vertical="center"/>
      <protection/>
    </xf>
    <xf numFmtId="0" fontId="155" fillId="45" borderId="37" xfId="58" applyFont="1" applyFill="1" applyBorder="1" applyAlignment="1" applyProtection="1">
      <alignment horizontal="center" vertical="center"/>
      <protection/>
    </xf>
    <xf numFmtId="3" fontId="94" fillId="45" borderId="87" xfId="58" applyNumberFormat="1" applyFont="1" applyFill="1" applyBorder="1" applyAlignment="1" applyProtection="1">
      <alignment horizontal="right" vertical="center"/>
      <protection/>
    </xf>
    <xf numFmtId="3" fontId="94" fillId="45" borderId="88" xfId="58" applyNumberFormat="1" applyFont="1" applyFill="1" applyBorder="1" applyAlignment="1" applyProtection="1">
      <alignment horizontal="right" vertical="center"/>
      <protection/>
    </xf>
    <xf numFmtId="0" fontId="6" fillId="37" borderId="0" xfId="58" applyFont="1" applyFill="1" applyBorder="1" applyAlignment="1">
      <alignment vertical="center"/>
      <protection/>
    </xf>
    <xf numFmtId="0" fontId="14" fillId="37" borderId="0" xfId="58" applyFont="1" applyFill="1" applyAlignment="1">
      <alignment vertical="center"/>
      <protection/>
    </xf>
    <xf numFmtId="0" fontId="6" fillId="0" borderId="17" xfId="58" applyFont="1" applyBorder="1" applyAlignment="1">
      <alignment vertical="center"/>
      <protection/>
    </xf>
    <xf numFmtId="0" fontId="14" fillId="0" borderId="17" xfId="58" applyFont="1" applyBorder="1" applyAlignment="1">
      <alignment vertical="center"/>
      <protection/>
    </xf>
    <xf numFmtId="0" fontId="6" fillId="35" borderId="17" xfId="58" applyFont="1" applyFill="1" applyBorder="1" applyAlignment="1">
      <alignment vertical="center"/>
      <protection/>
    </xf>
    <xf numFmtId="0" fontId="13" fillId="35" borderId="17" xfId="58" applyFont="1" applyFill="1" applyBorder="1" applyAlignment="1">
      <alignment vertical="center"/>
      <protection/>
    </xf>
    <xf numFmtId="0" fontId="6" fillId="35" borderId="89" xfId="66" applyNumberFormat="1" applyFont="1" applyFill="1" applyBorder="1" applyAlignment="1" quotePrefix="1">
      <alignment horizontal="right"/>
      <protection/>
    </xf>
    <xf numFmtId="0" fontId="6" fillId="35" borderId="18" xfId="66" applyNumberFormat="1" applyFont="1" applyFill="1" applyBorder="1" applyAlignment="1" quotePrefix="1">
      <alignment horizontal="right"/>
      <protection/>
    </xf>
    <xf numFmtId="0" fontId="13" fillId="35" borderId="18" xfId="66" applyNumberFormat="1" applyFont="1" applyFill="1" applyBorder="1" applyAlignment="1" quotePrefix="1">
      <alignment horizontal="right"/>
      <protection/>
    </xf>
    <xf numFmtId="0" fontId="13" fillId="35" borderId="17" xfId="58" applyNumberFormat="1" applyFont="1" applyFill="1" applyBorder="1" applyAlignment="1">
      <alignment horizontal="right"/>
      <protection/>
    </xf>
    <xf numFmtId="0" fontId="6" fillId="35" borderId="17" xfId="58" applyNumberFormat="1" applyFont="1" applyFill="1" applyBorder="1" applyAlignment="1">
      <alignment horizontal="right"/>
      <protection/>
    </xf>
    <xf numFmtId="0" fontId="13" fillId="35" borderId="17" xfId="66" applyNumberFormat="1" applyFont="1" applyFill="1" applyBorder="1" applyAlignment="1">
      <alignment horizontal="right"/>
      <protection/>
    </xf>
    <xf numFmtId="0" fontId="6" fillId="35" borderId="17" xfId="66" applyNumberFormat="1" applyFont="1" applyFill="1" applyBorder="1" applyAlignment="1">
      <alignment horizontal="right"/>
      <protection/>
    </xf>
    <xf numFmtId="0" fontId="14" fillId="35" borderId="17" xfId="58" applyNumberFormat="1" applyFont="1" applyFill="1" applyBorder="1" applyAlignment="1">
      <alignment horizontal="right"/>
      <protection/>
    </xf>
    <xf numFmtId="3" fontId="14" fillId="35" borderId="37" xfId="58" applyNumberFormat="1" applyFont="1" applyFill="1" applyBorder="1" applyAlignment="1" applyProtection="1">
      <alignment horizontal="right" vertical="center"/>
      <protection/>
    </xf>
    <xf numFmtId="0" fontId="6" fillId="38" borderId="0" xfId="58" applyFont="1" applyFill="1" applyAlignment="1">
      <alignment vertical="center"/>
      <protection/>
    </xf>
    <xf numFmtId="0" fontId="14" fillId="38" borderId="0" xfId="58" applyFont="1" applyFill="1" applyAlignment="1">
      <alignment vertical="center"/>
      <protection/>
    </xf>
    <xf numFmtId="3" fontId="25" fillId="35" borderId="33" xfId="58" applyNumberFormat="1" applyFont="1" applyFill="1" applyBorder="1" applyAlignment="1" applyProtection="1" quotePrefix="1">
      <alignment horizontal="center" vertical="center"/>
      <protection/>
    </xf>
    <xf numFmtId="187" fontId="12" fillId="35" borderId="27" xfId="66" applyNumberFormat="1" applyFont="1" applyFill="1" applyBorder="1" applyAlignment="1" quotePrefix="1">
      <alignment horizontal="right" vertical="center"/>
      <protection/>
    </xf>
    <xf numFmtId="0" fontId="6" fillId="35" borderId="69" xfId="66" applyFont="1" applyFill="1" applyBorder="1" applyAlignment="1">
      <alignment horizontal="left" vertical="center" wrapText="1"/>
      <protection/>
    </xf>
    <xf numFmtId="187" fontId="6" fillId="35" borderId="17" xfId="66" applyNumberFormat="1" applyFont="1" applyFill="1" applyBorder="1" applyAlignment="1">
      <alignment horizontal="right" vertical="center"/>
      <protection/>
    </xf>
    <xf numFmtId="0" fontId="6" fillId="35" borderId="17" xfId="66" applyFont="1" applyFill="1" applyBorder="1" applyAlignment="1">
      <alignment vertical="center"/>
      <protection/>
    </xf>
    <xf numFmtId="187" fontId="91" fillId="44" borderId="45" xfId="66" applyNumberFormat="1" applyFont="1" applyFill="1" applyBorder="1" applyAlignment="1" quotePrefix="1">
      <alignment horizontal="right" vertical="center"/>
      <protection/>
    </xf>
    <xf numFmtId="3" fontId="156" fillId="44" borderId="33" xfId="58" applyNumberFormat="1" applyFont="1" applyFill="1" applyBorder="1" applyAlignment="1" applyProtection="1">
      <alignment vertical="center"/>
      <protection locked="0"/>
    </xf>
    <xf numFmtId="3" fontId="156" fillId="44" borderId="81" xfId="58" applyNumberFormat="1" applyFont="1" applyFill="1" applyBorder="1" applyAlignment="1" applyProtection="1">
      <alignment vertical="center"/>
      <protection/>
    </xf>
    <xf numFmtId="0" fontId="157" fillId="46" borderId="71" xfId="58" applyFont="1" applyFill="1" applyBorder="1" applyAlignment="1" applyProtection="1">
      <alignment horizontal="center" vertical="center"/>
      <protection/>
    </xf>
    <xf numFmtId="0" fontId="157" fillId="46" borderId="37" xfId="58" applyFont="1" applyFill="1" applyBorder="1" applyAlignment="1" applyProtection="1">
      <alignment horizontal="center" vertical="center"/>
      <protection/>
    </xf>
    <xf numFmtId="0" fontId="6" fillId="35" borderId="0" xfId="58" applyNumberFormat="1" applyFont="1" applyFill="1" applyBorder="1" applyAlignment="1">
      <alignment horizontal="right"/>
      <protection/>
    </xf>
    <xf numFmtId="0" fontId="6" fillId="46" borderId="0" xfId="58" applyFont="1" applyFill="1" applyAlignment="1">
      <alignment vertical="center"/>
      <protection/>
    </xf>
    <xf numFmtId="0" fontId="14" fillId="46" borderId="0" xfId="58" applyFont="1" applyFill="1" applyAlignment="1">
      <alignment vertical="center"/>
      <protection/>
    </xf>
    <xf numFmtId="3" fontId="156" fillId="46" borderId="87" xfId="58" applyNumberFormat="1" applyFont="1" applyFill="1" applyBorder="1" applyAlignment="1" applyProtection="1">
      <alignment vertical="center"/>
      <protection/>
    </xf>
    <xf numFmtId="187" fontId="9" fillId="35" borderId="45" xfId="66" applyNumberFormat="1" applyFont="1" applyFill="1" applyBorder="1" applyAlignment="1" quotePrefix="1">
      <alignment horizontal="right" vertical="center"/>
      <protection/>
    </xf>
    <xf numFmtId="1" fontId="6" fillId="35" borderId="59" xfId="58" applyNumberFormat="1" applyFont="1" applyFill="1" applyBorder="1" applyAlignment="1">
      <alignment horizontal="left" vertical="center" wrapText="1"/>
      <protection/>
    </xf>
    <xf numFmtId="0" fontId="11" fillId="35" borderId="59" xfId="66" applyFont="1" applyFill="1" applyBorder="1" applyAlignment="1">
      <alignment horizontal="left" vertical="center" wrapText="1"/>
      <protection/>
    </xf>
    <xf numFmtId="0" fontId="6" fillId="46" borderId="59" xfId="58" applyFont="1" applyFill="1" applyBorder="1" applyAlignment="1">
      <alignment vertical="center"/>
      <protection/>
    </xf>
    <xf numFmtId="0" fontId="6" fillId="35" borderId="68" xfId="66" applyFont="1" applyFill="1" applyBorder="1" applyAlignment="1">
      <alignment horizontal="left" vertical="center" wrapText="1"/>
      <protection/>
    </xf>
    <xf numFmtId="0" fontId="6" fillId="35" borderId="86" xfId="66" applyFont="1" applyFill="1" applyBorder="1" applyAlignment="1">
      <alignment horizontal="left" vertical="center" wrapText="1"/>
      <protection/>
    </xf>
    <xf numFmtId="0" fontId="6" fillId="35" borderId="54" xfId="66" applyFont="1" applyFill="1" applyBorder="1" applyAlignment="1" quotePrefix="1">
      <alignment horizontal="left" vertical="center" wrapText="1"/>
      <protection/>
    </xf>
    <xf numFmtId="0" fontId="6" fillId="35" borderId="90" xfId="66" applyFont="1" applyFill="1" applyBorder="1" applyAlignment="1">
      <alignment horizontal="left" vertical="center" wrapText="1"/>
      <protection/>
    </xf>
    <xf numFmtId="0" fontId="6" fillId="35" borderId="65" xfId="66" applyFont="1" applyFill="1" applyBorder="1" applyAlignment="1">
      <alignment vertical="center" wrapText="1"/>
      <protection/>
    </xf>
    <xf numFmtId="0" fontId="6" fillId="35" borderId="52" xfId="66" applyFont="1" applyFill="1" applyBorder="1" applyAlignment="1" quotePrefix="1">
      <alignment horizontal="left" vertical="center" wrapText="1"/>
      <protection/>
    </xf>
    <xf numFmtId="0" fontId="6" fillId="35" borderId="61" xfId="66" applyFont="1" applyFill="1" applyBorder="1" applyAlignment="1" quotePrefix="1">
      <alignment vertical="center" wrapText="1"/>
      <protection/>
    </xf>
    <xf numFmtId="187" fontId="12" fillId="35" borderId="51" xfId="66" applyNumberFormat="1" applyFont="1" applyFill="1" applyBorder="1" applyAlignment="1" quotePrefix="1">
      <alignment horizontal="right"/>
      <protection/>
    </xf>
    <xf numFmtId="0" fontId="6" fillId="35" borderId="52" xfId="66" applyFont="1" applyFill="1" applyBorder="1" applyAlignment="1" quotePrefix="1">
      <alignment horizontal="left"/>
      <protection/>
    </xf>
    <xf numFmtId="187" fontId="12" fillId="35" borderId="56" xfId="66" applyNumberFormat="1" applyFont="1" applyFill="1" applyBorder="1" applyAlignment="1" quotePrefix="1">
      <alignment horizontal="right"/>
      <protection/>
    </xf>
    <xf numFmtId="0" fontId="6" fillId="35" borderId="61" xfId="66" applyFont="1" applyFill="1" applyBorder="1" quotePrefix="1">
      <alignment/>
      <protection/>
    </xf>
    <xf numFmtId="187" fontId="12" fillId="35" borderId="51" xfId="66" applyNumberFormat="1" applyFont="1" applyFill="1" applyBorder="1" applyAlignment="1">
      <alignment horizontal="right" vertical="center"/>
      <protection/>
    </xf>
    <xf numFmtId="0" fontId="15" fillId="35" borderId="86" xfId="66" applyFont="1" applyFill="1" applyBorder="1" applyAlignment="1">
      <alignment horizontal="left" vertical="center" wrapText="1"/>
      <protection/>
    </xf>
    <xf numFmtId="0" fontId="15" fillId="35" borderId="61" xfId="66" applyFont="1" applyFill="1" applyBorder="1" applyAlignment="1">
      <alignment horizontal="left" vertical="center" wrapText="1"/>
      <protection/>
    </xf>
    <xf numFmtId="0" fontId="15" fillId="35" borderId="69" xfId="66" applyFont="1" applyFill="1" applyBorder="1" applyAlignment="1">
      <alignment horizontal="left" vertical="center" wrapText="1"/>
      <protection/>
    </xf>
    <xf numFmtId="0" fontId="15" fillId="35" borderId="84" xfId="66" applyFont="1" applyFill="1" applyBorder="1" applyAlignment="1">
      <alignment horizontal="left" vertical="center" wrapText="1"/>
      <protection/>
    </xf>
    <xf numFmtId="0" fontId="15" fillId="35" borderId="0" xfId="66" applyFont="1" applyFill="1" applyBorder="1" applyAlignment="1">
      <alignment horizontal="left" vertical="center" wrapText="1"/>
      <protection/>
    </xf>
    <xf numFmtId="0" fontId="6" fillId="47" borderId="0" xfId="58" applyFont="1" applyFill="1" applyAlignment="1">
      <alignment vertical="center"/>
      <protection/>
    </xf>
    <xf numFmtId="3" fontId="20" fillId="35" borderId="66" xfId="58" applyNumberFormat="1" applyFont="1" applyFill="1" applyBorder="1" applyAlignment="1" applyProtection="1" quotePrefix="1">
      <alignment horizontal="center" vertical="center"/>
      <protection/>
    </xf>
    <xf numFmtId="3" fontId="20" fillId="35" borderId="91" xfId="58" applyNumberFormat="1" applyFont="1" applyFill="1" applyBorder="1" applyAlignment="1" applyProtection="1" quotePrefix="1">
      <alignment horizontal="center" vertical="center"/>
      <protection/>
    </xf>
    <xf numFmtId="187" fontId="104" fillId="35" borderId="45" xfId="66" applyNumberFormat="1" applyFont="1" applyFill="1" applyBorder="1" applyAlignment="1" quotePrefix="1">
      <alignment horizontal="right" vertical="center"/>
      <protection/>
    </xf>
    <xf numFmtId="0" fontId="15" fillId="0" borderId="0" xfId="58" applyNumberFormat="1" applyFont="1" applyBorder="1" applyAlignment="1">
      <alignment horizontal="right"/>
      <protection/>
    </xf>
    <xf numFmtId="0" fontId="15" fillId="44" borderId="0" xfId="58" applyFont="1" applyFill="1" applyAlignment="1">
      <alignment vertical="center"/>
      <protection/>
    </xf>
    <xf numFmtId="187" fontId="104" fillId="42" borderId="45" xfId="66" applyNumberFormat="1" applyFont="1" applyFill="1" applyBorder="1" applyAlignment="1" quotePrefix="1">
      <alignment horizontal="right" vertical="center"/>
      <protection/>
    </xf>
    <xf numFmtId="3" fontId="122" fillId="44" borderId="78" xfId="58" applyNumberFormat="1" applyFont="1" applyFill="1" applyBorder="1" applyAlignment="1">
      <alignment vertical="center"/>
      <protection/>
    </xf>
    <xf numFmtId="3" fontId="122" fillId="44" borderId="23" xfId="58" applyNumberFormat="1" applyFont="1" applyFill="1" applyBorder="1" applyAlignment="1" applyProtection="1">
      <alignment vertical="center"/>
      <protection/>
    </xf>
    <xf numFmtId="3" fontId="122" fillId="44" borderId="23" xfId="58" applyNumberFormat="1" applyFont="1" applyFill="1" applyBorder="1" applyAlignment="1">
      <alignment vertical="center"/>
      <protection/>
    </xf>
    <xf numFmtId="3" fontId="122" fillId="44" borderId="21" xfId="58" applyNumberFormat="1" applyFont="1" applyFill="1" applyBorder="1" applyAlignment="1" applyProtection="1">
      <alignment vertical="center"/>
      <protection/>
    </xf>
    <xf numFmtId="3" fontId="15" fillId="35" borderId="92" xfId="58" applyNumberFormat="1" applyFont="1" applyFill="1" applyBorder="1" applyAlignment="1" applyProtection="1">
      <alignment horizontal="right" vertical="center"/>
      <protection locked="0"/>
    </xf>
    <xf numFmtId="3" fontId="15" fillId="35" borderId="51" xfId="58" applyNumberFormat="1" applyFont="1" applyFill="1" applyBorder="1" applyAlignment="1" applyProtection="1">
      <alignment horizontal="right" vertical="center"/>
      <protection locked="0"/>
    </xf>
    <xf numFmtId="3" fontId="15" fillId="35" borderId="93" xfId="58" applyNumberFormat="1" applyFont="1" applyFill="1" applyBorder="1" applyAlignment="1" applyProtection="1">
      <alignment horizontal="right" vertical="center"/>
      <protection locked="0"/>
    </xf>
    <xf numFmtId="3" fontId="15" fillId="35" borderId="94" xfId="58" applyNumberFormat="1" applyFont="1" applyFill="1" applyBorder="1" applyAlignment="1" applyProtection="1">
      <alignment horizontal="right" vertical="center"/>
      <protection locked="0"/>
    </xf>
    <xf numFmtId="3" fontId="15" fillId="35" borderId="53" xfId="58" applyNumberFormat="1" applyFont="1" applyFill="1" applyBorder="1" applyAlignment="1" applyProtection="1">
      <alignment horizontal="right" vertical="center"/>
      <protection locked="0"/>
    </xf>
    <xf numFmtId="3" fontId="15" fillId="35" borderId="90" xfId="58" applyNumberFormat="1" applyFont="1" applyFill="1" applyBorder="1" applyAlignment="1" applyProtection="1">
      <alignment horizontal="right" vertical="center"/>
      <protection locked="0"/>
    </xf>
    <xf numFmtId="3" fontId="15" fillId="35" borderId="95" xfId="58" applyNumberFormat="1" applyFont="1" applyFill="1" applyBorder="1" applyAlignment="1" applyProtection="1">
      <alignment horizontal="right" vertical="center"/>
      <protection locked="0"/>
    </xf>
    <xf numFmtId="3" fontId="15" fillId="35" borderId="85" xfId="58" applyNumberFormat="1" applyFont="1" applyFill="1" applyBorder="1" applyAlignment="1" applyProtection="1">
      <alignment horizontal="right" vertical="center"/>
      <protection locked="0"/>
    </xf>
    <xf numFmtId="3" fontId="15" fillId="35" borderId="96" xfId="58" applyNumberFormat="1" applyFont="1" applyFill="1" applyBorder="1" applyAlignment="1" applyProtection="1">
      <alignment horizontal="right" vertical="center"/>
      <protection locked="0"/>
    </xf>
    <xf numFmtId="3" fontId="15" fillId="35" borderId="97" xfId="58" applyNumberFormat="1" applyFont="1" applyFill="1" applyBorder="1" applyAlignment="1" applyProtection="1">
      <alignment horizontal="right" vertical="center"/>
      <protection locked="0"/>
    </xf>
    <xf numFmtId="3" fontId="15" fillId="35" borderId="83" xfId="58" applyNumberFormat="1" applyFont="1" applyFill="1" applyBorder="1" applyAlignment="1" applyProtection="1">
      <alignment horizontal="right" vertical="center"/>
      <protection locked="0"/>
    </xf>
    <xf numFmtId="3" fontId="15" fillId="35" borderId="98" xfId="58" applyNumberFormat="1" applyFont="1" applyFill="1" applyBorder="1" applyAlignment="1" applyProtection="1">
      <alignment horizontal="right" vertical="center"/>
      <protection locked="0"/>
    </xf>
    <xf numFmtId="3" fontId="15" fillId="35" borderId="99" xfId="58" applyNumberFormat="1" applyFont="1" applyFill="1" applyBorder="1" applyAlignment="1" applyProtection="1">
      <alignment horizontal="right" vertical="center"/>
      <protection locked="0"/>
    </xf>
    <xf numFmtId="3" fontId="15" fillId="35" borderId="56" xfId="58" applyNumberFormat="1" applyFont="1" applyFill="1" applyBorder="1" applyAlignment="1" applyProtection="1">
      <alignment horizontal="right" vertical="center"/>
      <protection locked="0"/>
    </xf>
    <xf numFmtId="3" fontId="15" fillId="35" borderId="100" xfId="58" applyNumberFormat="1" applyFont="1" applyFill="1" applyBorder="1" applyAlignment="1" applyProtection="1">
      <alignment horizontal="right" vertical="center"/>
      <protection locked="0"/>
    </xf>
    <xf numFmtId="3" fontId="15" fillId="35" borderId="101" xfId="58" applyNumberFormat="1" applyFont="1" applyFill="1" applyBorder="1" applyAlignment="1" applyProtection="1">
      <alignment horizontal="right" vertical="center"/>
      <protection locked="0"/>
    </xf>
    <xf numFmtId="3" fontId="15" fillId="35" borderId="27" xfId="58" applyNumberFormat="1" applyFont="1" applyFill="1" applyBorder="1" applyAlignment="1" applyProtection="1">
      <alignment horizontal="right" vertical="center"/>
      <protection locked="0"/>
    </xf>
    <xf numFmtId="3" fontId="15" fillId="35" borderId="26" xfId="58" applyNumberFormat="1" applyFont="1" applyFill="1" applyBorder="1" applyAlignment="1" applyProtection="1">
      <alignment horizontal="right" vertical="center"/>
      <protection locked="0"/>
    </xf>
    <xf numFmtId="3" fontId="15" fillId="35" borderId="74" xfId="58" applyNumberFormat="1" applyFont="1" applyFill="1" applyBorder="1" applyAlignment="1" applyProtection="1">
      <alignment horizontal="right" vertical="center"/>
      <protection locked="0"/>
    </xf>
    <xf numFmtId="3" fontId="15" fillId="35" borderId="75" xfId="58" applyNumberFormat="1" applyFont="1" applyFill="1" applyBorder="1" applyAlignment="1" applyProtection="1">
      <alignment horizontal="right" vertical="center"/>
      <protection locked="0"/>
    </xf>
    <xf numFmtId="3" fontId="15" fillId="35" borderId="76" xfId="58" applyNumberFormat="1" applyFont="1" applyFill="1" applyBorder="1" applyAlignment="1" applyProtection="1">
      <alignment horizontal="right" vertical="center"/>
      <protection locked="0"/>
    </xf>
    <xf numFmtId="3" fontId="122" fillId="46" borderId="102" xfId="58" applyNumberFormat="1" applyFont="1" applyFill="1" applyBorder="1" applyAlignment="1">
      <alignment vertical="center"/>
      <protection/>
    </xf>
    <xf numFmtId="3" fontId="122" fillId="46" borderId="103" xfId="58" applyNumberFormat="1" applyFont="1" applyFill="1" applyBorder="1" applyAlignment="1">
      <alignment vertical="center"/>
      <protection/>
    </xf>
    <xf numFmtId="3" fontId="122" fillId="46" borderId="104" xfId="58" applyNumberFormat="1" applyFont="1" applyFill="1" applyBorder="1" applyAlignment="1" applyProtection="1">
      <alignment vertical="center"/>
      <protection/>
    </xf>
    <xf numFmtId="3" fontId="15" fillId="35" borderId="0" xfId="58" applyNumberFormat="1" applyFont="1" applyFill="1" applyBorder="1" applyAlignment="1">
      <alignment vertical="center"/>
      <protection/>
    </xf>
    <xf numFmtId="3" fontId="15" fillId="35" borderId="0" xfId="58" applyNumberFormat="1" applyFont="1" applyFill="1" applyBorder="1" applyAlignment="1" applyProtection="1">
      <alignment vertical="center"/>
      <protection/>
    </xf>
    <xf numFmtId="3" fontId="15" fillId="35" borderId="22" xfId="58" applyNumberFormat="1" applyFont="1" applyFill="1" applyBorder="1" applyAlignment="1" applyProtection="1">
      <alignment vertical="center"/>
      <protection/>
    </xf>
    <xf numFmtId="3" fontId="15" fillId="35" borderId="59" xfId="58" applyNumberFormat="1" applyFont="1" applyFill="1" applyBorder="1" applyAlignment="1">
      <alignment vertical="center"/>
      <protection/>
    </xf>
    <xf numFmtId="3" fontId="15" fillId="35" borderId="59" xfId="58" applyNumberFormat="1" applyFont="1" applyFill="1" applyBorder="1" applyAlignment="1" applyProtection="1">
      <alignment vertical="center"/>
      <protection/>
    </xf>
    <xf numFmtId="3" fontId="15" fillId="35" borderId="81" xfId="58" applyNumberFormat="1" applyFont="1" applyFill="1" applyBorder="1" applyAlignment="1" applyProtection="1">
      <alignment vertical="center"/>
      <protection/>
    </xf>
    <xf numFmtId="3" fontId="14" fillId="35" borderId="0" xfId="58" applyNumberFormat="1" applyFont="1" applyFill="1" applyBorder="1" applyAlignment="1" applyProtection="1">
      <alignment vertical="center"/>
      <protection/>
    </xf>
    <xf numFmtId="3" fontId="14" fillId="35" borderId="59" xfId="58" applyNumberFormat="1" applyFont="1" applyFill="1" applyBorder="1" applyAlignment="1">
      <alignment vertical="center"/>
      <protection/>
    </xf>
    <xf numFmtId="3" fontId="14" fillId="35" borderId="59" xfId="58" applyNumberFormat="1" applyFont="1" applyFill="1" applyBorder="1" applyAlignment="1" applyProtection="1">
      <alignment vertical="center"/>
      <protection/>
    </xf>
    <xf numFmtId="3" fontId="99" fillId="42" borderId="78" xfId="58" applyNumberFormat="1" applyFont="1" applyFill="1" applyBorder="1" applyAlignment="1" applyProtection="1">
      <alignment horizontal="right" vertical="center"/>
      <protection/>
    </xf>
    <xf numFmtId="3" fontId="99" fillId="42" borderId="23" xfId="58" applyNumberFormat="1" applyFont="1" applyFill="1" applyBorder="1" applyAlignment="1" applyProtection="1">
      <alignment horizontal="right" vertical="center"/>
      <protection/>
    </xf>
    <xf numFmtId="3" fontId="99" fillId="42" borderId="21" xfId="58" applyNumberFormat="1" applyFont="1" applyFill="1" applyBorder="1" applyAlignment="1" applyProtection="1">
      <alignment horizontal="right" vertical="center"/>
      <protection/>
    </xf>
    <xf numFmtId="3" fontId="15" fillId="35" borderId="92" xfId="58" applyNumberFormat="1" applyFont="1" applyFill="1" applyBorder="1" applyAlignment="1" applyProtection="1">
      <alignment horizontal="right" vertical="center"/>
      <protection/>
    </xf>
    <xf numFmtId="3" fontId="15" fillId="35" borderId="51" xfId="58" applyNumberFormat="1" applyFont="1" applyFill="1" applyBorder="1" applyAlignment="1" applyProtection="1">
      <alignment horizontal="right" vertical="center"/>
      <protection/>
    </xf>
    <xf numFmtId="3" fontId="15" fillId="35" borderId="93" xfId="58" applyNumberFormat="1" applyFont="1" applyFill="1" applyBorder="1" applyAlignment="1" applyProtection="1">
      <alignment horizontal="right" vertical="center"/>
      <protection/>
    </xf>
    <xf numFmtId="3" fontId="15" fillId="35" borderId="99" xfId="58" applyNumberFormat="1" applyFont="1" applyFill="1" applyBorder="1" applyAlignment="1" applyProtection="1">
      <alignment horizontal="right" vertical="center"/>
      <protection/>
    </xf>
    <xf numFmtId="3" fontId="15" fillId="35" borderId="56" xfId="58" applyNumberFormat="1" applyFont="1" applyFill="1" applyBorder="1" applyAlignment="1" applyProtection="1">
      <alignment horizontal="right" vertical="center"/>
      <protection/>
    </xf>
    <xf numFmtId="3" fontId="15" fillId="35" borderId="100" xfId="58" applyNumberFormat="1" applyFont="1" applyFill="1" applyBorder="1" applyAlignment="1" applyProtection="1">
      <alignment horizontal="right" vertical="center"/>
      <protection/>
    </xf>
    <xf numFmtId="3" fontId="15" fillId="35" borderId="94" xfId="58" applyNumberFormat="1" applyFont="1" applyFill="1" applyBorder="1" applyAlignment="1" applyProtection="1">
      <alignment horizontal="right" vertical="center"/>
      <protection/>
    </xf>
    <xf numFmtId="3" fontId="15" fillId="35" borderId="53" xfId="58" applyNumberFormat="1" applyFont="1" applyFill="1" applyBorder="1" applyAlignment="1" applyProtection="1">
      <alignment horizontal="right" vertical="center"/>
      <protection/>
    </xf>
    <xf numFmtId="3" fontId="15" fillId="35" borderId="90" xfId="58" applyNumberFormat="1" applyFont="1" applyFill="1" applyBorder="1" applyAlignment="1" applyProtection="1">
      <alignment horizontal="right" vertical="center"/>
      <protection/>
    </xf>
    <xf numFmtId="3" fontId="15" fillId="35" borderId="105" xfId="58" applyNumberFormat="1" applyFont="1" applyFill="1" applyBorder="1" applyAlignment="1" applyProtection="1">
      <alignment horizontal="right" vertical="center"/>
      <protection/>
    </xf>
    <xf numFmtId="3" fontId="15" fillId="35" borderId="57" xfId="58" applyNumberFormat="1" applyFont="1" applyFill="1" applyBorder="1" applyAlignment="1" applyProtection="1">
      <alignment horizontal="right" vertical="center"/>
      <protection/>
    </xf>
    <xf numFmtId="3" fontId="15" fillId="35" borderId="106" xfId="58" applyNumberFormat="1" applyFont="1" applyFill="1" applyBorder="1" applyAlignment="1" applyProtection="1">
      <alignment horizontal="right" vertical="center"/>
      <protection/>
    </xf>
    <xf numFmtId="3" fontId="15" fillId="35" borderId="97" xfId="58" applyNumberFormat="1" applyFont="1" applyFill="1" applyBorder="1" applyAlignment="1" applyProtection="1">
      <alignment horizontal="right" vertical="center"/>
      <protection/>
    </xf>
    <xf numFmtId="3" fontId="15" fillId="35" borderId="83" xfId="58" applyNumberFormat="1" applyFont="1" applyFill="1" applyBorder="1" applyAlignment="1" applyProtection="1">
      <alignment horizontal="right" vertical="center"/>
      <protection/>
    </xf>
    <xf numFmtId="3" fontId="15" fillId="35" borderId="98" xfId="58" applyNumberFormat="1" applyFont="1" applyFill="1" applyBorder="1" applyAlignment="1" applyProtection="1">
      <alignment horizontal="right" vertical="center"/>
      <protection/>
    </xf>
    <xf numFmtId="3" fontId="15" fillId="35" borderId="95" xfId="58" applyNumberFormat="1" applyFont="1" applyFill="1" applyBorder="1" applyAlignment="1" applyProtection="1">
      <alignment horizontal="right" vertical="center"/>
      <protection/>
    </xf>
    <xf numFmtId="3" fontId="15" fillId="35" borderId="85" xfId="58" applyNumberFormat="1" applyFont="1" applyFill="1" applyBorder="1" applyAlignment="1" applyProtection="1">
      <alignment horizontal="right" vertical="center"/>
      <protection/>
    </xf>
    <xf numFmtId="3" fontId="15" fillId="35" borderId="96" xfId="58" applyNumberFormat="1" applyFont="1" applyFill="1" applyBorder="1" applyAlignment="1" applyProtection="1">
      <alignment horizontal="right" vertical="center"/>
      <protection/>
    </xf>
    <xf numFmtId="3" fontId="15" fillId="35" borderId="107" xfId="58" applyNumberFormat="1" applyFont="1" applyFill="1" applyBorder="1" applyAlignment="1" applyProtection="1">
      <alignment horizontal="right" vertical="center"/>
      <protection/>
    </xf>
    <xf numFmtId="3" fontId="15" fillId="35" borderId="67" xfId="58" applyNumberFormat="1" applyFont="1" applyFill="1" applyBorder="1" applyAlignment="1" applyProtection="1">
      <alignment horizontal="right" vertical="center"/>
      <protection/>
    </xf>
    <xf numFmtId="3" fontId="15" fillId="35" borderId="108" xfId="58" applyNumberFormat="1" applyFont="1" applyFill="1" applyBorder="1" applyAlignment="1" applyProtection="1">
      <alignment horizontal="right" vertical="center"/>
      <protection/>
    </xf>
    <xf numFmtId="3" fontId="15" fillId="35" borderId="89" xfId="58" applyNumberFormat="1" applyFont="1" applyFill="1" applyBorder="1" applyAlignment="1" applyProtection="1">
      <alignment horizontal="right" vertical="center"/>
      <protection/>
    </xf>
    <xf numFmtId="3" fontId="15" fillId="35" borderId="66" xfId="58" applyNumberFormat="1" applyFont="1" applyFill="1" applyBorder="1" applyAlignment="1" applyProtection="1">
      <alignment horizontal="right" vertical="center"/>
      <protection/>
    </xf>
    <xf numFmtId="3" fontId="15" fillId="35" borderId="91" xfId="58" applyNumberFormat="1" applyFont="1" applyFill="1" applyBorder="1" applyAlignment="1" applyProtection="1">
      <alignment horizontal="right" vertical="center"/>
      <protection/>
    </xf>
    <xf numFmtId="3" fontId="15" fillId="35" borderId="109" xfId="58" applyNumberFormat="1" applyFont="1" applyFill="1" applyBorder="1" applyAlignment="1" applyProtection="1">
      <alignment horizontal="right" vertical="center"/>
      <protection/>
    </xf>
    <xf numFmtId="3" fontId="15" fillId="35" borderId="110" xfId="58" applyNumberFormat="1" applyFont="1" applyFill="1" applyBorder="1" applyAlignment="1" applyProtection="1">
      <alignment horizontal="right" vertical="center"/>
      <protection/>
    </xf>
    <xf numFmtId="3" fontId="15" fillId="35" borderId="111" xfId="58" applyNumberFormat="1" applyFont="1" applyFill="1" applyBorder="1" applyAlignment="1" applyProtection="1">
      <alignment horizontal="right" vertical="center"/>
      <protection/>
    </xf>
    <xf numFmtId="3" fontId="101" fillId="42" borderId="74" xfId="58" applyNumberFormat="1" applyFont="1" applyFill="1" applyBorder="1" applyAlignment="1">
      <alignment horizontal="right" vertical="center"/>
      <protection/>
    </xf>
    <xf numFmtId="3" fontId="101" fillId="42" borderId="75" xfId="58" applyNumberFormat="1" applyFont="1" applyFill="1" applyBorder="1" applyAlignment="1" applyProtection="1">
      <alignment horizontal="right" vertical="center"/>
      <protection/>
    </xf>
    <xf numFmtId="3" fontId="101" fillId="42" borderId="75" xfId="58" applyNumberFormat="1" applyFont="1" applyFill="1" applyBorder="1" applyAlignment="1">
      <alignment horizontal="right" vertical="center"/>
      <protection/>
    </xf>
    <xf numFmtId="3" fontId="101" fillId="42" borderId="76" xfId="58" applyNumberFormat="1" applyFont="1" applyFill="1" applyBorder="1" applyAlignment="1" applyProtection="1">
      <alignment horizontal="right" vertical="center"/>
      <protection/>
    </xf>
    <xf numFmtId="3" fontId="15" fillId="35" borderId="105" xfId="58" applyNumberFormat="1" applyFont="1" applyFill="1" applyBorder="1" applyAlignment="1" applyProtection="1">
      <alignment horizontal="right" vertical="center"/>
      <protection locked="0"/>
    </xf>
    <xf numFmtId="3" fontId="15" fillId="35" borderId="57" xfId="58" applyNumberFormat="1" applyFont="1" applyFill="1" applyBorder="1" applyAlignment="1" applyProtection="1">
      <alignment horizontal="right" vertical="center"/>
      <protection locked="0"/>
    </xf>
    <xf numFmtId="3" fontId="15" fillId="35" borderId="106" xfId="58" applyNumberFormat="1" applyFont="1" applyFill="1" applyBorder="1" applyAlignment="1" applyProtection="1">
      <alignment horizontal="right" vertical="center"/>
      <protection locked="0"/>
    </xf>
    <xf numFmtId="3" fontId="101" fillId="42" borderId="78" xfId="58" applyNumberFormat="1" applyFont="1" applyFill="1" applyBorder="1" applyAlignment="1">
      <alignment horizontal="right" vertical="center"/>
      <protection/>
    </xf>
    <xf numFmtId="3" fontId="101" fillId="42" borderId="23" xfId="58" applyNumberFormat="1" applyFont="1" applyFill="1" applyBorder="1" applyAlignment="1" applyProtection="1">
      <alignment horizontal="right" vertical="center"/>
      <protection/>
    </xf>
    <xf numFmtId="3" fontId="101" fillId="42" borderId="23" xfId="58" applyNumberFormat="1" applyFont="1" applyFill="1" applyBorder="1" applyAlignment="1">
      <alignment horizontal="right" vertical="center"/>
      <protection/>
    </xf>
    <xf numFmtId="3" fontId="101" fillId="42" borderId="21" xfId="58" applyNumberFormat="1" applyFont="1" applyFill="1" applyBorder="1" applyAlignment="1" applyProtection="1">
      <alignment horizontal="right" vertical="center"/>
      <protection/>
    </xf>
    <xf numFmtId="3" fontId="15" fillId="45" borderId="112" xfId="58" applyNumberFormat="1" applyFont="1" applyFill="1" applyBorder="1" applyAlignment="1" applyProtection="1">
      <alignment horizontal="right" vertical="center"/>
      <protection/>
    </xf>
    <xf numFmtId="3" fontId="15" fillId="45" borderId="113" xfId="58" applyNumberFormat="1" applyFont="1" applyFill="1" applyBorder="1" applyAlignment="1" applyProtection="1">
      <alignment horizontal="right" vertical="center"/>
      <protection/>
    </xf>
    <xf numFmtId="3" fontId="15" fillId="45" borderId="114" xfId="58" applyNumberFormat="1" applyFont="1" applyFill="1" applyBorder="1" applyAlignment="1" applyProtection="1">
      <alignment horizontal="right" vertical="center"/>
      <protection/>
    </xf>
    <xf numFmtId="3" fontId="9" fillId="35" borderId="49" xfId="58" applyNumberFormat="1" applyFont="1" applyFill="1" applyBorder="1" applyAlignment="1" applyProtection="1">
      <alignment horizontal="right" vertical="center"/>
      <protection locked="0"/>
    </xf>
    <xf numFmtId="3" fontId="9" fillId="35" borderId="49" xfId="58" applyNumberFormat="1" applyFont="1" applyFill="1" applyBorder="1" applyAlignment="1" applyProtection="1">
      <alignment horizontal="right" vertical="center"/>
      <protection/>
    </xf>
    <xf numFmtId="3" fontId="9" fillId="35" borderId="41" xfId="58" applyNumberFormat="1" applyFont="1" applyFill="1" applyBorder="1" applyAlignment="1" applyProtection="1">
      <alignment horizontal="right" vertical="center"/>
      <protection locked="0"/>
    </xf>
    <xf numFmtId="3" fontId="9" fillId="35" borderId="41" xfId="58" applyNumberFormat="1" applyFont="1" applyFill="1" applyBorder="1" applyAlignment="1" applyProtection="1">
      <alignment horizontal="right" vertical="center"/>
      <protection/>
    </xf>
    <xf numFmtId="3" fontId="9" fillId="35" borderId="42" xfId="58" applyNumberFormat="1" applyFont="1" applyFill="1" applyBorder="1" applyAlignment="1" applyProtection="1">
      <alignment horizontal="right" vertical="center"/>
      <protection locked="0"/>
    </xf>
    <xf numFmtId="3" fontId="9" fillId="35" borderId="42" xfId="58" applyNumberFormat="1" applyFont="1" applyFill="1" applyBorder="1" applyAlignment="1" applyProtection="1">
      <alignment horizontal="right" vertical="center"/>
      <protection/>
    </xf>
    <xf numFmtId="3" fontId="9" fillId="35" borderId="46" xfId="58" applyNumberFormat="1" applyFont="1" applyFill="1" applyBorder="1" applyAlignment="1" applyProtection="1">
      <alignment horizontal="right" vertical="center"/>
      <protection locked="0"/>
    </xf>
    <xf numFmtId="3" fontId="9" fillId="35" borderId="46" xfId="58" applyNumberFormat="1" applyFont="1" applyFill="1" applyBorder="1" applyAlignment="1" applyProtection="1">
      <alignment horizontal="right" vertical="center"/>
      <protection/>
    </xf>
    <xf numFmtId="3" fontId="9" fillId="35" borderId="69" xfId="58" applyNumberFormat="1" applyFont="1" applyFill="1" applyBorder="1" applyAlignment="1" applyProtection="1">
      <alignment horizontal="right" vertical="center"/>
      <protection/>
    </xf>
    <xf numFmtId="3" fontId="9" fillId="35" borderId="115" xfId="58" applyNumberFormat="1" applyFont="1" applyFill="1" applyBorder="1" applyAlignment="1" applyProtection="1">
      <alignment horizontal="right" vertical="center"/>
      <protection/>
    </xf>
    <xf numFmtId="3" fontId="9" fillId="35" borderId="65" xfId="58" applyNumberFormat="1" applyFont="1" applyFill="1" applyBorder="1" applyAlignment="1" applyProtection="1">
      <alignment horizontal="right" vertical="center"/>
      <protection/>
    </xf>
    <xf numFmtId="3" fontId="9" fillId="35" borderId="40" xfId="58" applyNumberFormat="1" applyFont="1" applyFill="1" applyBorder="1" applyAlignment="1" applyProtection="1">
      <alignment horizontal="right" vertical="center"/>
      <protection/>
    </xf>
    <xf numFmtId="3" fontId="9" fillId="35" borderId="116" xfId="58" applyNumberFormat="1" applyFont="1" applyFill="1" applyBorder="1" applyAlignment="1" applyProtection="1">
      <alignment horizontal="right" vertical="center"/>
      <protection/>
    </xf>
    <xf numFmtId="3" fontId="9" fillId="35" borderId="117" xfId="58" applyNumberFormat="1" applyFont="1" applyFill="1" applyBorder="1" applyAlignment="1" applyProtection="1">
      <alignment horizontal="right" vertical="center"/>
      <protection/>
    </xf>
    <xf numFmtId="3" fontId="9" fillId="35" borderId="118" xfId="58" applyNumberFormat="1" applyFont="1" applyFill="1" applyBorder="1" applyAlignment="1" applyProtection="1">
      <alignment horizontal="right" vertical="center"/>
      <protection/>
    </xf>
    <xf numFmtId="3" fontId="9" fillId="35" borderId="119" xfId="58" applyNumberFormat="1" applyFont="1" applyFill="1" applyBorder="1" applyAlignment="1" applyProtection="1">
      <alignment horizontal="right" vertical="center"/>
      <protection/>
    </xf>
    <xf numFmtId="3" fontId="9" fillId="35" borderId="120" xfId="58" applyNumberFormat="1" applyFont="1" applyFill="1" applyBorder="1" applyAlignment="1" applyProtection="1">
      <alignment horizontal="right" vertical="center"/>
      <protection/>
    </xf>
    <xf numFmtId="3" fontId="9" fillId="35" borderId="121" xfId="58" applyNumberFormat="1" applyFont="1" applyFill="1" applyBorder="1" applyAlignment="1" applyProtection="1">
      <alignment horizontal="right" vertical="center"/>
      <protection/>
    </xf>
    <xf numFmtId="3" fontId="9" fillId="35" borderId="122" xfId="58" applyNumberFormat="1" applyFont="1" applyFill="1" applyBorder="1" applyAlignment="1" applyProtection="1">
      <alignment horizontal="right" vertical="center"/>
      <protection/>
    </xf>
    <xf numFmtId="3" fontId="9" fillId="35" borderId="18" xfId="58" applyNumberFormat="1" applyFont="1" applyFill="1" applyBorder="1" applyAlignment="1" applyProtection="1">
      <alignment horizontal="right" vertical="center"/>
      <protection/>
    </xf>
    <xf numFmtId="3" fontId="9" fillId="35" borderId="22" xfId="58" applyNumberFormat="1" applyFont="1" applyFill="1" applyBorder="1" applyAlignment="1" applyProtection="1">
      <alignment horizontal="right" vertical="center"/>
      <protection/>
    </xf>
    <xf numFmtId="3" fontId="9" fillId="35" borderId="123" xfId="58" applyNumberFormat="1" applyFont="1" applyFill="1" applyBorder="1" applyAlignment="1" applyProtection="1">
      <alignment horizontal="right" vertical="center"/>
      <protection/>
    </xf>
    <xf numFmtId="3" fontId="9" fillId="35" borderId="124" xfId="58" applyNumberFormat="1" applyFont="1" applyFill="1" applyBorder="1" applyAlignment="1" applyProtection="1">
      <alignment horizontal="right" vertical="center"/>
      <protection/>
    </xf>
    <xf numFmtId="3" fontId="9" fillId="35" borderId="0" xfId="58" applyNumberFormat="1" applyFont="1" applyFill="1" applyBorder="1" applyAlignment="1" applyProtection="1">
      <alignment horizontal="right" vertical="center"/>
      <protection/>
    </xf>
    <xf numFmtId="3" fontId="14" fillId="35" borderId="49" xfId="58" applyNumberFormat="1" applyFont="1" applyFill="1" applyBorder="1" applyAlignment="1" applyProtection="1">
      <alignment horizontal="right" vertical="center"/>
      <protection locked="0"/>
    </xf>
    <xf numFmtId="3" fontId="14" fillId="35" borderId="49" xfId="58" applyNumberFormat="1" applyFont="1" applyFill="1" applyBorder="1" applyAlignment="1" applyProtection="1">
      <alignment horizontal="right" vertical="center"/>
      <protection/>
    </xf>
    <xf numFmtId="3" fontId="14" fillId="35" borderId="41" xfId="58" applyNumberFormat="1" applyFont="1" applyFill="1" applyBorder="1" applyAlignment="1" applyProtection="1">
      <alignment horizontal="right" vertical="center"/>
      <protection locked="0"/>
    </xf>
    <xf numFmtId="3" fontId="14" fillId="35" borderId="41" xfId="58" applyNumberFormat="1" applyFont="1" applyFill="1" applyBorder="1" applyAlignment="1" applyProtection="1">
      <alignment horizontal="right" vertical="center"/>
      <protection/>
    </xf>
    <xf numFmtId="3" fontId="14" fillId="35" borderId="119" xfId="58" applyNumberFormat="1" applyFont="1" applyFill="1" applyBorder="1" applyAlignment="1" applyProtection="1">
      <alignment horizontal="right" vertical="center"/>
      <protection locked="0"/>
    </xf>
    <xf numFmtId="3" fontId="14" fillId="35" borderId="119" xfId="58" applyNumberFormat="1" applyFont="1" applyFill="1" applyBorder="1" applyAlignment="1" applyProtection="1">
      <alignment horizontal="right" vertical="center"/>
      <protection/>
    </xf>
    <xf numFmtId="3" fontId="14" fillId="35" borderId="117" xfId="58" applyNumberFormat="1" applyFont="1" applyFill="1" applyBorder="1" applyAlignment="1" applyProtection="1">
      <alignment horizontal="right" vertical="center"/>
      <protection locked="0"/>
    </xf>
    <xf numFmtId="3" fontId="14" fillId="35" borderId="117" xfId="58" applyNumberFormat="1" applyFont="1" applyFill="1" applyBorder="1" applyAlignment="1" applyProtection="1">
      <alignment horizontal="right" vertical="center"/>
      <protection/>
    </xf>
    <xf numFmtId="3" fontId="14" fillId="35" borderId="46" xfId="58" applyNumberFormat="1" applyFont="1" applyFill="1" applyBorder="1" applyAlignment="1" applyProtection="1">
      <alignment horizontal="right" vertical="center"/>
      <protection locked="0"/>
    </xf>
    <xf numFmtId="3" fontId="14" fillId="35" borderId="46" xfId="58" applyNumberFormat="1" applyFont="1" applyFill="1" applyBorder="1" applyAlignment="1" applyProtection="1">
      <alignment horizontal="right" vertical="center"/>
      <protection/>
    </xf>
    <xf numFmtId="3" fontId="14" fillId="35" borderId="35" xfId="58" applyNumberFormat="1" applyFont="1" applyFill="1" applyBorder="1" applyAlignment="1" applyProtection="1">
      <alignment horizontal="right" vertical="center"/>
      <protection locked="0"/>
    </xf>
    <xf numFmtId="3" fontId="14" fillId="35" borderId="35" xfId="58" applyNumberFormat="1" applyFont="1" applyFill="1" applyBorder="1" applyAlignment="1" applyProtection="1">
      <alignment horizontal="right" vertical="center"/>
      <protection/>
    </xf>
    <xf numFmtId="3" fontId="14" fillId="35" borderId="119" xfId="58" applyNumberFormat="1" applyFont="1" applyFill="1" applyBorder="1" applyAlignment="1" applyProtection="1">
      <alignment vertical="center"/>
      <protection locked="0"/>
    </xf>
    <xf numFmtId="3" fontId="14" fillId="35" borderId="37" xfId="58" applyNumberFormat="1" applyFont="1" applyFill="1" applyBorder="1" applyAlignment="1" applyProtection="1">
      <alignment vertical="center"/>
      <protection locked="0"/>
    </xf>
    <xf numFmtId="3" fontId="14" fillId="35" borderId="41" xfId="58" applyNumberFormat="1" applyFont="1" applyFill="1" applyBorder="1" applyAlignment="1" applyProtection="1">
      <alignment vertical="center"/>
      <protection locked="0"/>
    </xf>
    <xf numFmtId="3" fontId="14" fillId="35" borderId="46" xfId="58" applyNumberFormat="1" applyFont="1" applyFill="1" applyBorder="1" applyAlignment="1" applyProtection="1">
      <alignment vertical="center"/>
      <protection locked="0"/>
    </xf>
    <xf numFmtId="3" fontId="14" fillId="35" borderId="49" xfId="58" applyNumberFormat="1" applyFont="1" applyFill="1" applyBorder="1" applyAlignment="1" applyProtection="1">
      <alignment vertical="center"/>
      <protection locked="0"/>
    </xf>
    <xf numFmtId="3" fontId="14" fillId="35" borderId="17" xfId="58" applyNumberFormat="1" applyFont="1" applyFill="1" applyBorder="1" applyAlignment="1">
      <alignment vertical="center"/>
      <protection/>
    </xf>
    <xf numFmtId="3" fontId="14" fillId="35" borderId="42" xfId="58" applyNumberFormat="1" applyFont="1" applyFill="1" applyBorder="1" applyAlignment="1" applyProtection="1">
      <alignment horizontal="right" vertical="center"/>
      <protection locked="0"/>
    </xf>
    <xf numFmtId="3" fontId="14" fillId="35" borderId="42" xfId="58" applyNumberFormat="1" applyFont="1" applyFill="1" applyBorder="1" applyAlignment="1" applyProtection="1">
      <alignment horizontal="right" vertical="center"/>
      <protection/>
    </xf>
    <xf numFmtId="3" fontId="104" fillId="42" borderId="81" xfId="58" applyNumberFormat="1" applyFont="1" applyFill="1" applyBorder="1" applyAlignment="1" applyProtection="1">
      <alignment vertical="center"/>
      <protection/>
    </xf>
    <xf numFmtId="3" fontId="14" fillId="35" borderId="37" xfId="58" applyNumberFormat="1" applyFont="1" applyFill="1" applyBorder="1" applyAlignment="1" applyProtection="1">
      <alignment horizontal="right" vertical="center"/>
      <protection locked="0"/>
    </xf>
    <xf numFmtId="3" fontId="104" fillId="42" borderId="33" xfId="58" applyNumberFormat="1" applyFont="1" applyFill="1" applyBorder="1" applyAlignment="1" applyProtection="1">
      <alignment horizontal="right" vertical="center"/>
      <protection locked="0"/>
    </xf>
    <xf numFmtId="3" fontId="104" fillId="42" borderId="81" xfId="58" applyNumberFormat="1" applyFont="1" applyFill="1" applyBorder="1" applyAlignment="1" applyProtection="1">
      <alignment horizontal="right" vertical="center"/>
      <protection/>
    </xf>
    <xf numFmtId="3" fontId="104" fillId="42" borderId="33" xfId="58" applyNumberFormat="1" applyFont="1" applyFill="1" applyBorder="1" applyAlignment="1" applyProtection="1">
      <alignment horizontal="right" vertical="center"/>
      <protection/>
    </xf>
    <xf numFmtId="187" fontId="104" fillId="42" borderId="50" xfId="66" applyNumberFormat="1" applyFont="1" applyFill="1" applyBorder="1" applyAlignment="1" quotePrefix="1">
      <alignment horizontal="right" vertical="center"/>
      <protection/>
    </xf>
    <xf numFmtId="3" fontId="104" fillId="42" borderId="82" xfId="58" applyNumberFormat="1" applyFont="1" applyFill="1" applyBorder="1" applyAlignment="1" applyProtection="1">
      <alignment vertical="center"/>
      <protection/>
    </xf>
    <xf numFmtId="184" fontId="9" fillId="35" borderId="17" xfId="66" applyNumberFormat="1" applyFont="1" applyFill="1" applyBorder="1" applyAlignment="1">
      <alignment horizontal="right" vertical="center"/>
      <protection/>
    </xf>
    <xf numFmtId="0" fontId="158" fillId="46" borderId="103" xfId="66" applyFont="1" applyFill="1" applyBorder="1" applyAlignment="1">
      <alignment horizontal="right" vertical="center"/>
      <protection/>
    </xf>
    <xf numFmtId="0" fontId="156" fillId="46" borderId="104" xfId="66" applyFont="1" applyFill="1" applyBorder="1" applyAlignment="1">
      <alignment horizontal="center" vertical="center" wrapText="1"/>
      <protection/>
    </xf>
    <xf numFmtId="187" fontId="12" fillId="35" borderId="125" xfId="66" applyNumberFormat="1" applyFont="1" applyFill="1" applyBorder="1" applyAlignment="1" quotePrefix="1">
      <alignment horizontal="right" vertical="center"/>
      <protection/>
    </xf>
    <xf numFmtId="0" fontId="11" fillId="35" borderId="126" xfId="66" applyFont="1" applyFill="1" applyBorder="1" applyAlignment="1">
      <alignment vertical="center" wrapText="1"/>
      <protection/>
    </xf>
    <xf numFmtId="3" fontId="14" fillId="35" borderId="47" xfId="58" applyNumberFormat="1" applyFont="1" applyFill="1" applyBorder="1" applyAlignment="1" applyProtection="1">
      <alignment horizontal="right" vertical="center"/>
      <protection locked="0"/>
    </xf>
    <xf numFmtId="3" fontId="14" fillId="35" borderId="47" xfId="58" applyNumberFormat="1" applyFont="1" applyFill="1" applyBorder="1" applyAlignment="1" applyProtection="1">
      <alignment horizontal="right" vertical="center"/>
      <protection/>
    </xf>
    <xf numFmtId="0" fontId="11" fillId="35" borderId="64" xfId="66" applyFont="1" applyFill="1" applyBorder="1" applyAlignment="1">
      <alignment vertical="center" wrapText="1"/>
      <protection/>
    </xf>
    <xf numFmtId="0" fontId="11" fillId="35" borderId="126" xfId="58" applyFont="1" applyFill="1" applyBorder="1" applyAlignment="1">
      <alignment vertical="center" wrapText="1"/>
      <protection/>
    </xf>
    <xf numFmtId="3" fontId="14" fillId="35" borderId="47" xfId="58" applyNumberFormat="1" applyFont="1" applyFill="1" applyBorder="1" applyAlignment="1" applyProtection="1">
      <alignment vertical="center"/>
      <protection locked="0"/>
    </xf>
    <xf numFmtId="0" fontId="11" fillId="35" borderId="126" xfId="66" applyFont="1" applyFill="1" applyBorder="1" applyAlignment="1">
      <alignment horizontal="left" vertical="center" wrapText="1"/>
      <protection/>
    </xf>
    <xf numFmtId="187" fontId="12" fillId="35" borderId="125" xfId="66" applyNumberFormat="1" applyFont="1" applyFill="1" applyBorder="1" applyAlignment="1" quotePrefix="1">
      <alignment horizontal="right"/>
      <protection/>
    </xf>
    <xf numFmtId="0" fontId="11" fillId="35" borderId="126" xfId="66" applyFont="1" applyFill="1" applyBorder="1">
      <alignment/>
      <protection/>
    </xf>
    <xf numFmtId="187" fontId="12" fillId="35" borderId="57" xfId="66" applyNumberFormat="1" applyFont="1" applyFill="1" applyBorder="1" applyAlignment="1" quotePrefix="1">
      <alignment horizontal="right"/>
      <protection/>
    </xf>
    <xf numFmtId="0" fontId="11" fillId="35" borderId="64" xfId="66" applyFont="1" applyFill="1" applyBorder="1">
      <alignment/>
      <protection/>
    </xf>
    <xf numFmtId="0" fontId="6" fillId="35" borderId="126" xfId="66" applyFont="1" applyFill="1" applyBorder="1" applyAlignment="1">
      <alignment horizontal="left" vertical="center" wrapText="1"/>
      <protection/>
    </xf>
    <xf numFmtId="0" fontId="14" fillId="47" borderId="0" xfId="58" applyFont="1" applyFill="1" applyAlignment="1">
      <alignment vertical="center"/>
      <protection/>
    </xf>
    <xf numFmtId="0" fontId="15" fillId="47" borderId="0" xfId="58" applyFont="1" applyFill="1" applyAlignment="1">
      <alignment vertical="center"/>
      <protection/>
    </xf>
    <xf numFmtId="0" fontId="6" fillId="47" borderId="0" xfId="58" applyFont="1" applyFill="1" applyAlignment="1" applyProtection="1">
      <alignment vertical="center"/>
      <protection locked="0"/>
    </xf>
    <xf numFmtId="0" fontId="7" fillId="35" borderId="0" xfId="58" applyNumberFormat="1" applyFont="1" applyFill="1" applyBorder="1" applyAlignment="1" applyProtection="1">
      <alignment horizontal="right"/>
      <protection locked="0"/>
    </xf>
    <xf numFmtId="0" fontId="7" fillId="35" borderId="0" xfId="58" applyFont="1" applyFill="1" applyAlignment="1">
      <alignment vertical="center"/>
      <protection/>
    </xf>
    <xf numFmtId="0" fontId="7" fillId="35" borderId="0" xfId="58" applyFont="1" applyFill="1" applyAlignment="1">
      <alignment vertical="center" wrapText="1"/>
      <protection/>
    </xf>
    <xf numFmtId="0" fontId="11" fillId="35" borderId="64" xfId="58" applyFont="1" applyFill="1" applyBorder="1" applyAlignment="1">
      <alignment vertical="center" wrapText="1"/>
      <protection/>
    </xf>
    <xf numFmtId="3" fontId="14" fillId="35" borderId="42" xfId="58" applyNumberFormat="1" applyFont="1" applyFill="1" applyBorder="1" applyAlignment="1" applyProtection="1">
      <alignment vertical="center"/>
      <protection locked="0"/>
    </xf>
    <xf numFmtId="3" fontId="14" fillId="35" borderId="121" xfId="58" applyNumberFormat="1" applyFont="1" applyFill="1" applyBorder="1" applyAlignment="1" applyProtection="1">
      <alignment vertical="center"/>
      <protection locked="0"/>
    </xf>
    <xf numFmtId="3" fontId="14" fillId="35" borderId="121" xfId="58" applyNumberFormat="1" applyFont="1" applyFill="1" applyBorder="1" applyAlignment="1" applyProtection="1">
      <alignment horizontal="right" vertical="center"/>
      <protection/>
    </xf>
    <xf numFmtId="0" fontId="6" fillId="43" borderId="0" xfId="58" applyFont="1" applyFill="1" applyAlignment="1">
      <alignment vertical="center" wrapText="1"/>
      <protection/>
    </xf>
    <xf numFmtId="3" fontId="102" fillId="42" borderId="21" xfId="58" applyNumberFormat="1" applyFont="1" applyFill="1" applyBorder="1" applyAlignment="1" applyProtection="1">
      <alignment vertical="center"/>
      <protection/>
    </xf>
    <xf numFmtId="3" fontId="15" fillId="35" borderId="127" xfId="58" applyNumberFormat="1" applyFont="1" applyFill="1" applyBorder="1" applyAlignment="1" applyProtection="1">
      <alignment horizontal="right" vertical="center"/>
      <protection locked="0"/>
    </xf>
    <xf numFmtId="3" fontId="15" fillId="35" borderId="108" xfId="58" applyNumberFormat="1" applyFont="1" applyFill="1" applyBorder="1" applyAlignment="1" applyProtection="1">
      <alignment horizontal="right" vertical="center"/>
      <protection locked="0"/>
    </xf>
    <xf numFmtId="3" fontId="102" fillId="42" borderId="21" xfId="58" applyNumberFormat="1" applyFont="1" applyFill="1" applyBorder="1" applyAlignment="1" applyProtection="1">
      <alignment horizontal="right" vertical="center"/>
      <protection/>
    </xf>
    <xf numFmtId="3" fontId="102" fillId="42" borderId="21" xfId="58" applyNumberFormat="1" applyFont="1" applyFill="1" applyBorder="1" applyAlignment="1" applyProtection="1">
      <alignment horizontal="right" vertical="center"/>
      <protection locked="0"/>
    </xf>
    <xf numFmtId="3" fontId="102" fillId="42" borderId="76" xfId="58" applyNumberFormat="1" applyFont="1" applyFill="1" applyBorder="1" applyAlignment="1" applyProtection="1">
      <alignment vertical="center"/>
      <protection/>
    </xf>
    <xf numFmtId="187" fontId="12" fillId="35" borderId="110" xfId="66" applyNumberFormat="1" applyFont="1" applyFill="1" applyBorder="1" applyAlignment="1" quotePrefix="1">
      <alignment horizontal="right" vertical="center"/>
      <protection/>
    </xf>
    <xf numFmtId="3" fontId="14" fillId="35" borderId="123" xfId="58" applyNumberFormat="1" applyFont="1" applyFill="1" applyBorder="1" applyAlignment="1" applyProtection="1">
      <alignment horizontal="right" vertical="center"/>
      <protection/>
    </xf>
    <xf numFmtId="0" fontId="11" fillId="35" borderId="64" xfId="66" applyFont="1" applyFill="1" applyBorder="1" applyAlignment="1">
      <alignment horizontal="left" vertical="center" wrapText="1"/>
      <protection/>
    </xf>
    <xf numFmtId="0" fontId="11" fillId="35" borderId="84" xfId="66" applyFont="1" applyFill="1" applyBorder="1" applyAlignment="1">
      <alignment horizontal="left" vertical="center" wrapText="1"/>
      <protection/>
    </xf>
    <xf numFmtId="0" fontId="6" fillId="35" borderId="40" xfId="66" applyFont="1" applyFill="1" applyBorder="1" applyAlignment="1">
      <alignment horizontal="left" vertical="center" wrapText="1"/>
      <protection/>
    </xf>
    <xf numFmtId="0" fontId="11" fillId="35" borderId="120" xfId="66" applyFont="1" applyFill="1" applyBorder="1" applyAlignment="1">
      <alignment horizontal="left" vertical="center" wrapText="1"/>
      <protection/>
    </xf>
    <xf numFmtId="187" fontId="12" fillId="35" borderId="83" xfId="66" applyNumberFormat="1" applyFont="1" applyFill="1" applyBorder="1" applyAlignment="1" quotePrefix="1">
      <alignment horizontal="right"/>
      <protection/>
    </xf>
    <xf numFmtId="0" fontId="6" fillId="35" borderId="84" xfId="66" applyFont="1" applyFill="1" applyBorder="1" applyAlignment="1">
      <alignment horizontal="left" wrapText="1"/>
      <protection/>
    </xf>
    <xf numFmtId="3" fontId="14" fillId="35" borderId="117" xfId="58" applyNumberFormat="1" applyFont="1" applyFill="1" applyBorder="1" applyAlignment="1" applyProtection="1">
      <alignment vertical="center"/>
      <protection locked="0"/>
    </xf>
    <xf numFmtId="187" fontId="12" fillId="35" borderId="85" xfId="66" applyNumberFormat="1" applyFont="1" applyFill="1" applyBorder="1" applyAlignment="1" quotePrefix="1">
      <alignment horizontal="right"/>
      <protection/>
    </xf>
    <xf numFmtId="0" fontId="6" fillId="35" borderId="86" xfId="66" applyFont="1" applyFill="1" applyBorder="1" applyAlignment="1">
      <alignment horizontal="left" wrapText="1"/>
      <protection/>
    </xf>
    <xf numFmtId="0" fontId="11" fillId="35" borderId="84" xfId="66" applyFont="1" applyFill="1" applyBorder="1" applyAlignment="1">
      <alignment horizontal="left" vertical="center" wrapText="1"/>
      <protection/>
    </xf>
    <xf numFmtId="0" fontId="11" fillId="35" borderId="86" xfId="66" applyFont="1" applyFill="1" applyBorder="1" applyAlignment="1">
      <alignment horizontal="left" vertical="center" wrapText="1"/>
      <protection/>
    </xf>
    <xf numFmtId="3" fontId="14" fillId="35" borderId="18" xfId="58" applyNumberFormat="1" applyFont="1" applyFill="1" applyBorder="1" applyAlignment="1" applyProtection="1">
      <alignment vertical="center"/>
      <protection locked="0"/>
    </xf>
    <xf numFmtId="3" fontId="14" fillId="35" borderId="18" xfId="58" applyNumberFormat="1" applyFont="1" applyFill="1" applyBorder="1" applyAlignment="1" applyProtection="1">
      <alignment horizontal="right" vertical="center"/>
      <protection/>
    </xf>
    <xf numFmtId="3" fontId="15" fillId="35" borderId="91" xfId="58" applyNumberFormat="1" applyFont="1" applyFill="1" applyBorder="1" applyAlignment="1" applyProtection="1">
      <alignment horizontal="right" vertical="center"/>
      <protection locked="0"/>
    </xf>
    <xf numFmtId="0" fontId="12" fillId="35" borderId="84" xfId="66" applyFont="1" applyFill="1" applyBorder="1" applyAlignment="1">
      <alignment horizontal="left" vertical="center" wrapText="1"/>
      <protection/>
    </xf>
    <xf numFmtId="0" fontId="12" fillId="35" borderId="86" xfId="66" applyFont="1" applyFill="1" applyBorder="1" applyAlignment="1">
      <alignment horizontal="left" vertical="center" wrapText="1"/>
      <protection/>
    </xf>
    <xf numFmtId="3" fontId="14" fillId="35" borderId="18" xfId="58" applyNumberFormat="1" applyFont="1" applyFill="1" applyBorder="1" applyAlignment="1" applyProtection="1">
      <alignment horizontal="right" vertical="center"/>
      <protection locked="0"/>
    </xf>
    <xf numFmtId="0" fontId="12" fillId="35" borderId="52" xfId="66" applyFont="1" applyFill="1" applyBorder="1" applyAlignment="1">
      <alignment horizontal="left" wrapText="1"/>
      <protection/>
    </xf>
    <xf numFmtId="0" fontId="12" fillId="35" borderId="86" xfId="66" applyFont="1" applyFill="1" applyBorder="1" applyAlignment="1">
      <alignment horizontal="left" wrapText="1"/>
      <protection/>
    </xf>
    <xf numFmtId="0" fontId="12" fillId="35" borderId="84" xfId="66" applyFont="1" applyFill="1" applyBorder="1" applyAlignment="1">
      <alignment horizontal="left" wrapText="1"/>
      <protection/>
    </xf>
    <xf numFmtId="0" fontId="12" fillId="35" borderId="61" xfId="66" applyFont="1" applyFill="1" applyBorder="1" applyAlignment="1">
      <alignment horizontal="left" wrapText="1"/>
      <protection/>
    </xf>
    <xf numFmtId="0" fontId="6" fillId="35" borderId="128" xfId="66" applyFont="1" applyFill="1" applyBorder="1" applyAlignment="1">
      <alignment horizontal="left" vertical="center" wrapText="1"/>
      <protection/>
    </xf>
    <xf numFmtId="3" fontId="14" fillId="35" borderId="123" xfId="58" applyNumberFormat="1" applyFont="1" applyFill="1" applyBorder="1" applyAlignment="1" applyProtection="1">
      <alignment vertical="center"/>
      <protection locked="0"/>
    </xf>
    <xf numFmtId="3" fontId="102" fillId="42" borderId="78" xfId="58" applyNumberFormat="1" applyFont="1" applyFill="1" applyBorder="1" applyAlignment="1">
      <alignment vertical="center"/>
      <protection/>
    </xf>
    <xf numFmtId="3" fontId="102" fillId="42" borderId="23" xfId="58" applyNumberFormat="1" applyFont="1" applyFill="1" applyBorder="1" applyAlignment="1" applyProtection="1">
      <alignment vertical="center"/>
      <protection/>
    </xf>
    <xf numFmtId="3" fontId="102" fillId="42" borderId="23" xfId="58" applyNumberFormat="1" applyFont="1" applyFill="1" applyBorder="1" applyAlignment="1">
      <alignment vertical="center"/>
      <protection/>
    </xf>
    <xf numFmtId="3" fontId="102" fillId="42" borderId="78" xfId="58" applyNumberFormat="1" applyFont="1" applyFill="1" applyBorder="1" applyAlignment="1" applyProtection="1">
      <alignment vertical="center"/>
      <protection/>
    </xf>
    <xf numFmtId="3" fontId="15" fillId="35" borderId="129" xfId="58" applyNumberFormat="1" applyFont="1" applyFill="1" applyBorder="1" applyAlignment="1" applyProtection="1">
      <alignment horizontal="right" vertical="center"/>
      <protection locked="0"/>
    </xf>
    <xf numFmtId="3" fontId="15" fillId="35" borderId="125" xfId="58" applyNumberFormat="1" applyFont="1" applyFill="1" applyBorder="1" applyAlignment="1" applyProtection="1">
      <alignment horizontal="right" vertical="center"/>
      <protection locked="0"/>
    </xf>
    <xf numFmtId="3" fontId="15" fillId="35" borderId="107" xfId="58" applyNumberFormat="1" applyFont="1" applyFill="1" applyBorder="1" applyAlignment="1" applyProtection="1">
      <alignment horizontal="right" vertical="center"/>
      <protection locked="0"/>
    </xf>
    <xf numFmtId="3" fontId="15" fillId="35" borderId="67" xfId="58" applyNumberFormat="1" applyFont="1" applyFill="1" applyBorder="1" applyAlignment="1" applyProtection="1">
      <alignment horizontal="right" vertical="center"/>
      <protection locked="0"/>
    </xf>
    <xf numFmtId="3" fontId="102" fillId="42" borderId="78" xfId="58" applyNumberFormat="1" applyFont="1" applyFill="1" applyBorder="1" applyAlignment="1" applyProtection="1">
      <alignment horizontal="right" vertical="center"/>
      <protection/>
    </xf>
    <xf numFmtId="3" fontId="102" fillId="42" borderId="23" xfId="58" applyNumberFormat="1" applyFont="1" applyFill="1" applyBorder="1" applyAlignment="1" applyProtection="1">
      <alignment horizontal="right" vertical="center"/>
      <protection/>
    </xf>
    <xf numFmtId="3" fontId="102" fillId="42" borderId="78" xfId="58" applyNumberFormat="1" applyFont="1" applyFill="1" applyBorder="1" applyAlignment="1" applyProtection="1">
      <alignment horizontal="right" vertical="center"/>
      <protection locked="0"/>
    </xf>
    <xf numFmtId="3" fontId="102" fillId="42" borderId="23" xfId="58" applyNumberFormat="1" applyFont="1" applyFill="1" applyBorder="1" applyAlignment="1" applyProtection="1">
      <alignment horizontal="right" vertical="center"/>
      <protection locked="0"/>
    </xf>
    <xf numFmtId="3" fontId="102" fillId="42" borderId="74" xfId="58" applyNumberFormat="1" applyFont="1" applyFill="1" applyBorder="1" applyAlignment="1" applyProtection="1">
      <alignment vertical="center"/>
      <protection/>
    </xf>
    <xf numFmtId="3" fontId="102" fillId="42" borderId="75" xfId="58" applyNumberFormat="1" applyFont="1" applyFill="1" applyBorder="1" applyAlignment="1" applyProtection="1">
      <alignment vertical="center"/>
      <protection/>
    </xf>
    <xf numFmtId="3" fontId="15" fillId="35" borderId="89" xfId="58" applyNumberFormat="1" applyFont="1" applyFill="1" applyBorder="1" applyAlignment="1" applyProtection="1">
      <alignment horizontal="right" vertical="center"/>
      <protection locked="0"/>
    </xf>
    <xf numFmtId="3" fontId="15" fillId="35" borderId="66" xfId="58" applyNumberFormat="1" applyFont="1" applyFill="1" applyBorder="1" applyAlignment="1" applyProtection="1">
      <alignment horizontal="right" vertical="center"/>
      <protection locked="0"/>
    </xf>
    <xf numFmtId="3" fontId="15" fillId="35" borderId="109" xfId="58" applyNumberFormat="1" applyFont="1" applyFill="1" applyBorder="1" applyAlignment="1" applyProtection="1">
      <alignment horizontal="right" vertical="center"/>
      <protection locked="0"/>
    </xf>
    <xf numFmtId="3" fontId="14" fillId="35" borderId="121" xfId="58" applyNumberFormat="1" applyFont="1" applyFill="1" applyBorder="1" applyAlignment="1" applyProtection="1">
      <alignment horizontal="right" vertical="center"/>
      <protection locked="0"/>
    </xf>
    <xf numFmtId="0" fontId="40" fillId="45" borderId="32" xfId="58" applyFont="1" applyFill="1" applyBorder="1" applyAlignment="1" applyProtection="1">
      <alignment horizontal="center" vertical="center" wrapText="1"/>
      <protection/>
    </xf>
    <xf numFmtId="193" fontId="122" fillId="44" borderId="111" xfId="58" applyNumberFormat="1" applyFont="1" applyFill="1" applyBorder="1" applyAlignment="1" applyProtection="1">
      <alignment horizontal="center" vertical="center"/>
      <protection/>
    </xf>
    <xf numFmtId="193" fontId="122" fillId="44" borderId="110" xfId="58" applyNumberFormat="1" applyFont="1" applyFill="1" applyBorder="1" applyAlignment="1" applyProtection="1">
      <alignment horizontal="center" vertical="center"/>
      <protection/>
    </xf>
    <xf numFmtId="193" fontId="122" fillId="44" borderId="93" xfId="58" applyNumberFormat="1" applyFont="1" applyFill="1" applyBorder="1" applyAlignment="1" applyProtection="1">
      <alignment horizontal="center" vertical="center"/>
      <protection/>
    </xf>
    <xf numFmtId="193" fontId="122" fillId="44" borderId="90" xfId="58" applyNumberFormat="1" applyFont="1" applyFill="1" applyBorder="1" applyAlignment="1" applyProtection="1">
      <alignment horizontal="center" vertical="center"/>
      <protection/>
    </xf>
    <xf numFmtId="193" fontId="122" fillId="44" borderId="96" xfId="58" applyNumberFormat="1" applyFont="1" applyFill="1" applyBorder="1" applyAlignment="1" applyProtection="1">
      <alignment horizontal="center" vertical="center"/>
      <protection/>
    </xf>
    <xf numFmtId="193" fontId="122" fillId="44" borderId="85" xfId="58" applyNumberFormat="1" applyFont="1" applyFill="1" applyBorder="1" applyAlignment="1" applyProtection="1">
      <alignment horizontal="center" vertical="center"/>
      <protection/>
    </xf>
    <xf numFmtId="193" fontId="156" fillId="44" borderId="49" xfId="58" applyNumberFormat="1" applyFont="1" applyFill="1" applyBorder="1" applyAlignment="1" applyProtection="1">
      <alignment horizontal="center" vertical="center"/>
      <protection/>
    </xf>
    <xf numFmtId="193" fontId="156" fillId="44" borderId="41" xfId="58" applyNumberFormat="1" applyFont="1" applyFill="1" applyBorder="1" applyAlignment="1" applyProtection="1">
      <alignment horizontal="center" vertical="center"/>
      <protection/>
    </xf>
    <xf numFmtId="193" fontId="156" fillId="44" borderId="42" xfId="58" applyNumberFormat="1" applyFont="1" applyFill="1" applyBorder="1" applyAlignment="1" applyProtection="1">
      <alignment horizontal="center" vertical="center"/>
      <protection/>
    </xf>
    <xf numFmtId="1" fontId="6" fillId="42" borderId="130" xfId="58" applyNumberFormat="1" applyFont="1" applyFill="1" applyBorder="1" applyAlignment="1">
      <alignment horizontal="left" vertical="center" wrapText="1"/>
      <protection/>
    </xf>
    <xf numFmtId="1" fontId="122" fillId="35" borderId="131" xfId="58" applyNumberFormat="1" applyFont="1" applyFill="1" applyBorder="1" applyAlignment="1">
      <alignment horizontal="left" vertical="center" wrapText="1"/>
      <protection/>
    </xf>
    <xf numFmtId="3" fontId="99" fillId="45" borderId="102" xfId="58" applyNumberFormat="1" applyFont="1" applyFill="1" applyBorder="1" applyAlignment="1" applyProtection="1">
      <alignment horizontal="right" vertical="center"/>
      <protection/>
    </xf>
    <xf numFmtId="3" fontId="99" fillId="45" borderId="103" xfId="58" applyNumberFormat="1" applyFont="1" applyFill="1" applyBorder="1" applyAlignment="1" applyProtection="1">
      <alignment horizontal="right" vertical="center"/>
      <protection/>
    </xf>
    <xf numFmtId="3" fontId="99" fillId="45" borderId="104" xfId="58" applyNumberFormat="1" applyFont="1" applyFill="1" applyBorder="1" applyAlignment="1" applyProtection="1">
      <alignment horizontal="right" vertical="center"/>
      <protection/>
    </xf>
    <xf numFmtId="3" fontId="6" fillId="35" borderId="59" xfId="58" applyNumberFormat="1" applyFont="1" applyFill="1" applyBorder="1" applyAlignment="1" applyProtection="1">
      <alignment horizontal="right" vertical="center"/>
      <protection/>
    </xf>
    <xf numFmtId="3" fontId="6" fillId="35" borderId="81" xfId="58" applyNumberFormat="1" applyFont="1" applyFill="1" applyBorder="1" applyAlignment="1" applyProtection="1">
      <alignment horizontal="right" vertical="center"/>
      <protection/>
    </xf>
    <xf numFmtId="3" fontId="99" fillId="42" borderId="78" xfId="58" applyNumberFormat="1" applyFont="1" applyFill="1" applyBorder="1" applyAlignment="1" applyProtection="1">
      <alignment horizontal="right" vertical="center"/>
      <protection/>
    </xf>
    <xf numFmtId="3" fontId="99" fillId="42" borderId="23" xfId="58" applyNumberFormat="1" applyFont="1" applyFill="1" applyBorder="1" applyAlignment="1" applyProtection="1">
      <alignment horizontal="right" vertical="center"/>
      <protection/>
    </xf>
    <xf numFmtId="3" fontId="99" fillId="42" borderId="21" xfId="58" applyNumberFormat="1" applyFont="1" applyFill="1" applyBorder="1" applyAlignment="1" applyProtection="1">
      <alignment horizontal="right" vertical="center"/>
      <protection/>
    </xf>
    <xf numFmtId="193" fontId="122" fillId="44" borderId="78" xfId="58" applyNumberFormat="1" applyFont="1" applyFill="1" applyBorder="1" applyAlignment="1" applyProtection="1">
      <alignment horizontal="center" vertical="center"/>
      <protection/>
    </xf>
    <xf numFmtId="193" fontId="122" fillId="44" borderId="23" xfId="58" applyNumberFormat="1" applyFont="1" applyFill="1" applyBorder="1" applyAlignment="1" applyProtection="1">
      <alignment horizontal="center" vertical="center"/>
      <protection/>
    </xf>
    <xf numFmtId="193" fontId="122" fillId="44" borderId="21" xfId="58" applyNumberFormat="1" applyFont="1" applyFill="1" applyBorder="1" applyAlignment="1" applyProtection="1">
      <alignment horizontal="center" vertical="center"/>
      <protection/>
    </xf>
    <xf numFmtId="3" fontId="20" fillId="35" borderId="74" xfId="58" applyNumberFormat="1" applyFont="1" applyFill="1" applyBorder="1" applyAlignment="1" applyProtection="1" quotePrefix="1">
      <alignment horizontal="center" vertical="center"/>
      <protection/>
    </xf>
    <xf numFmtId="3" fontId="20" fillId="35" borderId="75" xfId="58" applyNumberFormat="1" applyFont="1" applyFill="1" applyBorder="1" applyAlignment="1" applyProtection="1" quotePrefix="1">
      <alignment horizontal="center" vertical="center"/>
      <protection/>
    </xf>
    <xf numFmtId="3" fontId="20" fillId="35" borderId="76" xfId="58" applyNumberFormat="1" applyFont="1" applyFill="1" applyBorder="1" applyAlignment="1" applyProtection="1" quotePrefix="1">
      <alignment horizontal="center" vertical="center"/>
      <protection/>
    </xf>
    <xf numFmtId="3" fontId="6" fillId="35" borderId="18" xfId="58" applyNumberFormat="1" applyFont="1" applyFill="1" applyBorder="1" applyAlignment="1" applyProtection="1">
      <alignment horizontal="right" vertical="center"/>
      <protection/>
    </xf>
    <xf numFmtId="3" fontId="9" fillId="42" borderId="81" xfId="58" applyNumberFormat="1" applyFont="1" applyFill="1" applyBorder="1" applyAlignment="1" applyProtection="1">
      <alignment horizontal="right" vertical="center"/>
      <protection/>
    </xf>
    <xf numFmtId="0" fontId="6" fillId="35" borderId="0" xfId="58" applyFont="1" applyFill="1" applyAlignment="1" applyProtection="1">
      <alignment vertical="center"/>
      <protection/>
    </xf>
    <xf numFmtId="3" fontId="6" fillId="35" borderId="0" xfId="58" applyNumberFormat="1" applyFont="1" applyFill="1" applyAlignment="1" applyProtection="1">
      <alignment horizontal="right" vertical="center"/>
      <protection/>
    </xf>
    <xf numFmtId="3" fontId="6" fillId="35" borderId="0" xfId="58" applyNumberFormat="1" applyFont="1" applyFill="1" applyBorder="1" applyAlignment="1" applyProtection="1">
      <alignment horizontal="right"/>
      <protection/>
    </xf>
    <xf numFmtId="0" fontId="26" fillId="35" borderId="0" xfId="58" applyFont="1" applyFill="1">
      <alignment/>
      <protection/>
    </xf>
    <xf numFmtId="3" fontId="6" fillId="35" borderId="27" xfId="58" applyNumberFormat="1" applyFont="1" applyFill="1" applyBorder="1" applyAlignment="1" applyProtection="1">
      <alignment horizontal="right" vertical="center"/>
      <protection/>
    </xf>
    <xf numFmtId="3" fontId="6" fillId="35" borderId="26" xfId="58" applyNumberFormat="1" applyFont="1" applyFill="1" applyBorder="1" applyAlignment="1" applyProtection="1">
      <alignment horizontal="right" vertical="center"/>
      <protection/>
    </xf>
    <xf numFmtId="3" fontId="6" fillId="35" borderId="66" xfId="58" applyNumberFormat="1" applyFont="1" applyFill="1" applyBorder="1" applyAlignment="1" applyProtection="1">
      <alignment horizontal="right" vertical="center"/>
      <protection/>
    </xf>
    <xf numFmtId="3" fontId="6" fillId="35" borderId="91" xfId="58" applyNumberFormat="1" applyFont="1" applyFill="1" applyBorder="1" applyAlignment="1" applyProtection="1">
      <alignment horizontal="right" vertical="center"/>
      <protection/>
    </xf>
    <xf numFmtId="3" fontId="6" fillId="35" borderId="75" xfId="58" applyNumberFormat="1" applyFont="1" applyFill="1" applyBorder="1" applyAlignment="1" applyProtection="1">
      <alignment horizontal="right" vertical="center"/>
      <protection/>
    </xf>
    <xf numFmtId="3" fontId="6" fillId="35" borderId="76" xfId="58" applyNumberFormat="1" applyFont="1" applyFill="1" applyBorder="1" applyAlignment="1" applyProtection="1">
      <alignment horizontal="right" vertical="center"/>
      <protection/>
    </xf>
    <xf numFmtId="3" fontId="6" fillId="35" borderId="51" xfId="58" applyNumberFormat="1" applyFont="1" applyFill="1" applyBorder="1" applyAlignment="1" applyProtection="1">
      <alignment horizontal="right" vertical="center"/>
      <protection/>
    </xf>
    <xf numFmtId="3" fontId="6" fillId="35" borderId="93" xfId="58" applyNumberFormat="1" applyFont="1" applyFill="1" applyBorder="1" applyAlignment="1" applyProtection="1">
      <alignment horizontal="right" vertical="center"/>
      <protection/>
    </xf>
    <xf numFmtId="3" fontId="6" fillId="35" borderId="57" xfId="58" applyNumberFormat="1" applyFont="1" applyFill="1" applyBorder="1" applyAlignment="1" applyProtection="1">
      <alignment horizontal="right" vertical="center"/>
      <protection/>
    </xf>
    <xf numFmtId="3" fontId="6" fillId="35" borderId="106" xfId="58" applyNumberFormat="1" applyFont="1" applyFill="1" applyBorder="1" applyAlignment="1" applyProtection="1">
      <alignment horizontal="right" vertical="center"/>
      <protection/>
    </xf>
    <xf numFmtId="3" fontId="14" fillId="35" borderId="23" xfId="58" applyNumberFormat="1" applyFont="1" applyFill="1" applyBorder="1" applyAlignment="1" applyProtection="1">
      <alignment horizontal="right" vertical="center"/>
      <protection/>
    </xf>
    <xf numFmtId="3" fontId="14" fillId="35" borderId="21" xfId="58" applyNumberFormat="1" applyFont="1" applyFill="1" applyBorder="1" applyAlignment="1" applyProtection="1">
      <alignment horizontal="right" vertical="center"/>
      <protection/>
    </xf>
    <xf numFmtId="3" fontId="6" fillId="35" borderId="56" xfId="58" applyNumberFormat="1" applyFont="1" applyFill="1" applyBorder="1" applyAlignment="1" applyProtection="1">
      <alignment horizontal="right" vertical="center"/>
      <protection/>
    </xf>
    <xf numFmtId="3" fontId="6" fillId="35" borderId="100" xfId="58" applyNumberFormat="1" applyFont="1" applyFill="1" applyBorder="1" applyAlignment="1" applyProtection="1">
      <alignment horizontal="right" vertical="center"/>
      <protection/>
    </xf>
    <xf numFmtId="3" fontId="14" fillId="35" borderId="23" xfId="0" applyNumberFormat="1" applyFont="1" applyFill="1" applyBorder="1" applyAlignment="1" applyProtection="1">
      <alignment horizontal="right" vertical="center"/>
      <protection/>
    </xf>
    <xf numFmtId="3" fontId="14" fillId="35" borderId="21" xfId="0" applyNumberFormat="1" applyFont="1" applyFill="1" applyBorder="1" applyAlignment="1" applyProtection="1">
      <alignment horizontal="right" vertical="center"/>
      <protection/>
    </xf>
    <xf numFmtId="3" fontId="6" fillId="35" borderId="125" xfId="0" applyNumberFormat="1" applyFont="1" applyFill="1" applyBorder="1" applyAlignment="1" applyProtection="1">
      <alignment horizontal="right" vertical="center"/>
      <protection/>
    </xf>
    <xf numFmtId="3" fontId="6" fillId="35" borderId="127" xfId="0" applyNumberFormat="1" applyFont="1" applyFill="1" applyBorder="1" applyAlignment="1" applyProtection="1">
      <alignment horizontal="right" vertical="center"/>
      <protection/>
    </xf>
    <xf numFmtId="3" fontId="6" fillId="35" borderId="57" xfId="0" applyNumberFormat="1" applyFont="1" applyFill="1" applyBorder="1" applyAlignment="1" applyProtection="1">
      <alignment horizontal="right" vertical="center"/>
      <protection/>
    </xf>
    <xf numFmtId="3" fontId="6" fillId="35" borderId="106" xfId="0" applyNumberFormat="1" applyFont="1" applyFill="1" applyBorder="1" applyAlignment="1" applyProtection="1">
      <alignment horizontal="right" vertical="center"/>
      <protection/>
    </xf>
    <xf numFmtId="3" fontId="6" fillId="35" borderId="125" xfId="58" applyNumberFormat="1" applyFont="1" applyFill="1" applyBorder="1" applyAlignment="1" applyProtection="1">
      <alignment horizontal="right" vertical="center"/>
      <protection/>
    </xf>
    <xf numFmtId="3" fontId="6" fillId="35" borderId="127" xfId="58" applyNumberFormat="1" applyFont="1" applyFill="1" applyBorder="1" applyAlignment="1" applyProtection="1">
      <alignment horizontal="right" vertical="center"/>
      <protection/>
    </xf>
    <xf numFmtId="3" fontId="14" fillId="35" borderId="103" xfId="58" applyNumberFormat="1" applyFont="1" applyFill="1" applyBorder="1" applyAlignment="1" applyProtection="1">
      <alignment horizontal="right" vertical="center"/>
      <protection/>
    </xf>
    <xf numFmtId="3" fontId="14" fillId="35" borderId="104" xfId="58" applyNumberFormat="1" applyFont="1" applyFill="1" applyBorder="1" applyAlignment="1" applyProtection="1">
      <alignment horizontal="right" vertical="center"/>
      <protection/>
    </xf>
    <xf numFmtId="0" fontId="38" fillId="42" borderId="87" xfId="0" applyFont="1" applyFill="1" applyBorder="1" applyAlignment="1" applyProtection="1" quotePrefix="1">
      <alignment horizontal="left"/>
      <protection/>
    </xf>
    <xf numFmtId="0" fontId="40" fillId="42" borderId="87" xfId="0" applyFont="1" applyFill="1" applyBorder="1" applyAlignment="1" applyProtection="1">
      <alignment horizontal="left"/>
      <protection/>
    </xf>
    <xf numFmtId="0" fontId="40" fillId="42" borderId="87" xfId="0" applyFont="1" applyFill="1" applyBorder="1" applyAlignment="1" applyProtection="1" quotePrefix="1">
      <alignment horizontal="left"/>
      <protection/>
    </xf>
    <xf numFmtId="3" fontId="40" fillId="42" borderId="87" xfId="0" applyNumberFormat="1" applyFont="1" applyFill="1" applyBorder="1" applyAlignment="1" applyProtection="1">
      <alignment/>
      <protection/>
    </xf>
    <xf numFmtId="0" fontId="30" fillId="35" borderId="18" xfId="0" applyFont="1" applyFill="1" applyBorder="1" applyAlignment="1" applyProtection="1">
      <alignment horizontal="left"/>
      <protection/>
    </xf>
    <xf numFmtId="0" fontId="30" fillId="35" borderId="33" xfId="0" applyFont="1" applyFill="1" applyBorder="1" applyAlignment="1" applyProtection="1">
      <alignment horizontal="left"/>
      <protection/>
    </xf>
    <xf numFmtId="0" fontId="30" fillId="35" borderId="132" xfId="0" applyFont="1" applyFill="1" applyBorder="1" applyAlignment="1" applyProtection="1">
      <alignment horizontal="left"/>
      <protection/>
    </xf>
    <xf numFmtId="0" fontId="30" fillId="35" borderId="37" xfId="0" applyFont="1" applyFill="1" applyBorder="1" applyAlignment="1" applyProtection="1">
      <alignment horizontal="left"/>
      <protection/>
    </xf>
    <xf numFmtId="0" fontId="30" fillId="35" borderId="16" xfId="0" applyFont="1" applyFill="1" applyBorder="1" applyAlignment="1" applyProtection="1">
      <alignment horizontal="left"/>
      <protection/>
    </xf>
    <xf numFmtId="0" fontId="30" fillId="35" borderId="0" xfId="0" applyFont="1" applyFill="1" applyBorder="1" applyAlignment="1" applyProtection="1">
      <alignment/>
      <protection/>
    </xf>
    <xf numFmtId="0" fontId="40" fillId="35" borderId="18" xfId="0" applyFont="1" applyFill="1" applyBorder="1" applyAlignment="1" applyProtection="1" quotePrefix="1">
      <alignment horizontal="center"/>
      <protection/>
    </xf>
    <xf numFmtId="0" fontId="40" fillId="35" borderId="17" xfId="0" applyFont="1" applyFill="1" applyBorder="1" applyAlignment="1" applyProtection="1" quotePrefix="1">
      <alignment horizontal="center"/>
      <protection/>
    </xf>
    <xf numFmtId="0" fontId="40" fillId="35" borderId="37" xfId="0" applyFont="1" applyFill="1" applyBorder="1" applyAlignment="1" applyProtection="1" quotePrefix="1">
      <alignment horizontal="center"/>
      <protection/>
    </xf>
    <xf numFmtId="0" fontId="30" fillId="35" borderId="18" xfId="0" applyFont="1" applyFill="1" applyBorder="1" applyAlignment="1" applyProtection="1">
      <alignment horizontal="center"/>
      <protection/>
    </xf>
    <xf numFmtId="0" fontId="30" fillId="35" borderId="18" xfId="0" applyFont="1" applyFill="1" applyBorder="1" applyAlignment="1" applyProtection="1">
      <alignment/>
      <protection/>
    </xf>
    <xf numFmtId="0" fontId="82" fillId="35" borderId="0" xfId="0" applyFont="1" applyFill="1" applyAlignment="1" applyProtection="1">
      <alignment/>
      <protection/>
    </xf>
    <xf numFmtId="184" fontId="40" fillId="35" borderId="133" xfId="0" applyNumberFormat="1" applyFont="1" applyFill="1" applyBorder="1" applyAlignment="1" applyProtection="1">
      <alignment/>
      <protection/>
    </xf>
    <xf numFmtId="184" fontId="40" fillId="35" borderId="134" xfId="0" applyNumberFormat="1" applyFont="1" applyFill="1" applyBorder="1" applyAlignment="1" applyProtection="1">
      <alignment/>
      <protection/>
    </xf>
    <xf numFmtId="0" fontId="40" fillId="35" borderId="18" xfId="0" applyFont="1" applyFill="1" applyBorder="1" applyAlignment="1" applyProtection="1">
      <alignment/>
      <protection/>
    </xf>
    <xf numFmtId="0" fontId="30" fillId="35" borderId="18" xfId="0" applyFont="1" applyFill="1" applyBorder="1" applyAlignment="1" applyProtection="1" quotePrefix="1">
      <alignment horizontal="left"/>
      <protection/>
    </xf>
    <xf numFmtId="3" fontId="30" fillId="35" borderId="18" xfId="0" applyNumberFormat="1" applyFont="1" applyFill="1" applyBorder="1" applyAlignment="1" applyProtection="1" quotePrefix="1">
      <alignment/>
      <protection/>
    </xf>
    <xf numFmtId="0" fontId="40" fillId="35" borderId="18" xfId="0" applyFont="1" applyFill="1" applyBorder="1" applyAlignment="1" applyProtection="1">
      <alignment horizontal="left"/>
      <protection/>
    </xf>
    <xf numFmtId="3" fontId="40" fillId="35" borderId="18" xfId="0" applyNumberFormat="1" applyFont="1" applyFill="1" applyBorder="1" applyAlignment="1" applyProtection="1">
      <alignment horizontal="right"/>
      <protection/>
    </xf>
    <xf numFmtId="184" fontId="30" fillId="35" borderId="13" xfId="0" applyNumberFormat="1" applyFont="1" applyFill="1" applyBorder="1" applyAlignment="1" applyProtection="1">
      <alignment/>
      <protection/>
    </xf>
    <xf numFmtId="1" fontId="40" fillId="35" borderId="30" xfId="0" applyNumberFormat="1" applyFont="1" applyFill="1" applyBorder="1" applyAlignment="1" applyProtection="1">
      <alignment/>
      <protection/>
    </xf>
    <xf numFmtId="1" fontId="40" fillId="35" borderId="31" xfId="0" applyNumberFormat="1" applyFont="1" applyFill="1" applyBorder="1" applyAlignment="1" applyProtection="1">
      <alignment/>
      <protection/>
    </xf>
    <xf numFmtId="0" fontId="30" fillId="35" borderId="11" xfId="0" applyFont="1" applyFill="1" applyBorder="1" applyAlignment="1" applyProtection="1">
      <alignment horizontal="left"/>
      <protection/>
    </xf>
    <xf numFmtId="0" fontId="30" fillId="35" borderId="13" xfId="0" applyFont="1" applyFill="1" applyBorder="1" applyAlignment="1" applyProtection="1">
      <alignment horizontal="left"/>
      <protection/>
    </xf>
    <xf numFmtId="1" fontId="40" fillId="35" borderId="10" xfId="0" applyNumberFormat="1" applyFont="1" applyFill="1" applyBorder="1" applyAlignment="1" applyProtection="1">
      <alignment/>
      <protection/>
    </xf>
    <xf numFmtId="1" fontId="40" fillId="35" borderId="14" xfId="0" applyNumberFormat="1" applyFont="1" applyFill="1" applyBorder="1" applyAlignment="1" applyProtection="1">
      <alignment/>
      <protection/>
    </xf>
    <xf numFmtId="0" fontId="30" fillId="35" borderId="0" xfId="0" applyFont="1" applyFill="1" applyBorder="1" applyAlignment="1" applyProtection="1">
      <alignment horizontal="left"/>
      <protection/>
    </xf>
    <xf numFmtId="1" fontId="40" fillId="35" borderId="0" xfId="0" applyNumberFormat="1" applyFont="1" applyFill="1" applyBorder="1" applyAlignment="1" applyProtection="1">
      <alignment/>
      <protection/>
    </xf>
    <xf numFmtId="0" fontId="40" fillId="35" borderId="0" xfId="0" applyFont="1" applyFill="1" applyBorder="1" applyAlignment="1" applyProtection="1">
      <alignment horizontal="left"/>
      <protection/>
    </xf>
    <xf numFmtId="0" fontId="40" fillId="35" borderId="0" xfId="0" applyFont="1" applyFill="1" applyBorder="1" applyAlignment="1" applyProtection="1">
      <alignment/>
      <protection/>
    </xf>
    <xf numFmtId="184" fontId="95" fillId="35" borderId="0" xfId="0" applyNumberFormat="1" applyFont="1" applyFill="1" applyBorder="1" applyAlignment="1" applyProtection="1" quotePrefix="1">
      <alignment horizontal="left"/>
      <protection/>
    </xf>
    <xf numFmtId="0" fontId="37" fillId="35" borderId="0" xfId="0" applyFont="1" applyFill="1" applyAlignment="1" applyProtection="1">
      <alignment/>
      <protection/>
    </xf>
    <xf numFmtId="0" fontId="30" fillId="35" borderId="49" xfId="0" applyFont="1" applyFill="1" applyBorder="1" applyAlignment="1" applyProtection="1">
      <alignment horizontal="left"/>
      <protection/>
    </xf>
    <xf numFmtId="3" fontId="30" fillId="35" borderId="49" xfId="0" applyNumberFormat="1" applyFont="1" applyFill="1" applyBorder="1" applyAlignment="1" applyProtection="1" quotePrefix="1">
      <alignment/>
      <protection/>
    </xf>
    <xf numFmtId="0" fontId="30" fillId="35" borderId="46" xfId="0" applyFont="1" applyFill="1" applyBorder="1" applyAlignment="1" applyProtection="1">
      <alignment horizontal="left"/>
      <protection/>
    </xf>
    <xf numFmtId="3" fontId="30" fillId="35" borderId="46" xfId="0" applyNumberFormat="1" applyFont="1" applyFill="1" applyBorder="1" applyAlignment="1" applyProtection="1" quotePrefix="1">
      <alignment/>
      <protection/>
    </xf>
    <xf numFmtId="0" fontId="30" fillId="35" borderId="135" xfId="0" applyFont="1" applyFill="1" applyBorder="1" applyAlignment="1" applyProtection="1">
      <alignment horizontal="left"/>
      <protection/>
    </xf>
    <xf numFmtId="0" fontId="30" fillId="35" borderId="136" xfId="0" applyFont="1" applyFill="1" applyBorder="1" applyAlignment="1" applyProtection="1">
      <alignment horizontal="left"/>
      <protection/>
    </xf>
    <xf numFmtId="0" fontId="30" fillId="35" borderId="137" xfId="0" applyFont="1" applyFill="1" applyBorder="1" applyAlignment="1" applyProtection="1">
      <alignment horizontal="left"/>
      <protection/>
    </xf>
    <xf numFmtId="0" fontId="96" fillId="35" borderId="137" xfId="0" applyFont="1" applyFill="1" applyBorder="1" applyAlignment="1" applyProtection="1">
      <alignment horizontal="left"/>
      <protection/>
    </xf>
    <xf numFmtId="0" fontId="30" fillId="35" borderId="138" xfId="0" applyFont="1" applyFill="1" applyBorder="1" applyAlignment="1" applyProtection="1">
      <alignment horizontal="left"/>
      <protection/>
    </xf>
    <xf numFmtId="0" fontId="30" fillId="35" borderId="41" xfId="0" applyFont="1" applyFill="1" applyBorder="1" applyAlignment="1" applyProtection="1">
      <alignment horizontal="left"/>
      <protection/>
    </xf>
    <xf numFmtId="0" fontId="38" fillId="45" borderId="87" xfId="0" applyFont="1" applyFill="1" applyBorder="1" applyAlignment="1" applyProtection="1">
      <alignment horizontal="left"/>
      <protection/>
    </xf>
    <xf numFmtId="0" fontId="30" fillId="45" borderId="87" xfId="0" applyFont="1" applyFill="1" applyBorder="1" applyAlignment="1" applyProtection="1">
      <alignment horizontal="left"/>
      <protection/>
    </xf>
    <xf numFmtId="0" fontId="40" fillId="45" borderId="87" xfId="0" applyFont="1" applyFill="1" applyBorder="1" applyAlignment="1" applyProtection="1" quotePrefix="1">
      <alignment horizontal="left"/>
      <protection/>
    </xf>
    <xf numFmtId="3" fontId="40" fillId="45" borderId="87" xfId="0" applyNumberFormat="1" applyFont="1" applyFill="1" applyBorder="1" applyAlignment="1" applyProtection="1">
      <alignment/>
      <protection/>
    </xf>
    <xf numFmtId="0" fontId="30" fillId="42" borderId="49" xfId="0" applyFont="1" applyFill="1" applyBorder="1" applyAlignment="1" applyProtection="1">
      <alignment horizontal="left"/>
      <protection/>
    </xf>
    <xf numFmtId="1" fontId="40" fillId="42" borderId="49" xfId="0" applyNumberFormat="1" applyFont="1" applyFill="1" applyBorder="1" applyAlignment="1" applyProtection="1">
      <alignment/>
      <protection/>
    </xf>
    <xf numFmtId="0" fontId="30" fillId="42" borderId="41" xfId="0" applyFont="1" applyFill="1" applyBorder="1" applyAlignment="1" applyProtection="1">
      <alignment horizontal="left"/>
      <protection/>
    </xf>
    <xf numFmtId="1" fontId="40" fillId="42" borderId="41" xfId="0" applyNumberFormat="1" applyFont="1" applyFill="1" applyBorder="1" applyAlignment="1" applyProtection="1">
      <alignment/>
      <protection/>
    </xf>
    <xf numFmtId="0" fontId="30" fillId="42" borderId="139" xfId="0" applyFont="1" applyFill="1" applyBorder="1" applyAlignment="1" applyProtection="1">
      <alignment horizontal="left"/>
      <protection/>
    </xf>
    <xf numFmtId="1" fontId="40" fillId="42" borderId="46" xfId="0" applyNumberFormat="1" applyFont="1" applyFill="1" applyBorder="1" applyAlignment="1" applyProtection="1">
      <alignment/>
      <protection/>
    </xf>
    <xf numFmtId="3" fontId="30" fillId="35" borderId="138" xfId="0" applyNumberFormat="1" applyFont="1" applyFill="1" applyBorder="1" applyAlignment="1" applyProtection="1">
      <alignment/>
      <protection/>
    </xf>
    <xf numFmtId="3" fontId="30" fillId="35" borderId="41" xfId="0" applyNumberFormat="1" applyFont="1" applyFill="1" applyBorder="1" applyAlignment="1" applyProtection="1">
      <alignment/>
      <protection/>
    </xf>
    <xf numFmtId="3" fontId="30" fillId="35" borderId="49" xfId="0" applyNumberFormat="1" applyFont="1" applyFill="1" applyBorder="1" applyAlignment="1" applyProtection="1">
      <alignment/>
      <protection/>
    </xf>
    <xf numFmtId="3" fontId="30" fillId="35" borderId="42" xfId="0" applyNumberFormat="1" applyFont="1" applyFill="1" applyBorder="1" applyAlignment="1" applyProtection="1">
      <alignment/>
      <protection/>
    </xf>
    <xf numFmtId="3" fontId="30" fillId="35" borderId="35" xfId="0" applyNumberFormat="1" applyFont="1" applyFill="1" applyBorder="1" applyAlignment="1" applyProtection="1">
      <alignment/>
      <protection/>
    </xf>
    <xf numFmtId="3" fontId="30" fillId="35" borderId="16" xfId="0" applyNumberFormat="1" applyFont="1" applyFill="1" applyBorder="1" applyAlignment="1" applyProtection="1">
      <alignment/>
      <protection/>
    </xf>
    <xf numFmtId="3" fontId="30" fillId="35" borderId="37" xfId="0" applyNumberFormat="1" applyFont="1" applyFill="1" applyBorder="1" applyAlignment="1" applyProtection="1">
      <alignment/>
      <protection/>
    </xf>
    <xf numFmtId="3" fontId="30" fillId="35" borderId="33" xfId="0" applyNumberFormat="1" applyFont="1" applyFill="1" applyBorder="1" applyAlignment="1" applyProtection="1">
      <alignment/>
      <protection/>
    </xf>
    <xf numFmtId="0" fontId="30" fillId="35" borderId="41" xfId="0" applyFont="1" applyFill="1" applyBorder="1" applyAlignment="1" applyProtection="1" quotePrefix="1">
      <alignment horizontal="left"/>
      <protection/>
    </xf>
    <xf numFmtId="0" fontId="30" fillId="35" borderId="42" xfId="0" applyFont="1" applyFill="1" applyBorder="1" applyAlignment="1" applyProtection="1">
      <alignment horizontal="left"/>
      <protection/>
    </xf>
    <xf numFmtId="0" fontId="30" fillId="35" borderId="46" xfId="0" applyFont="1" applyFill="1" applyBorder="1" applyAlignment="1" applyProtection="1" quotePrefix="1">
      <alignment horizontal="left"/>
      <protection/>
    </xf>
    <xf numFmtId="0" fontId="30" fillId="35" borderId="42" xfId="0" applyFont="1" applyFill="1" applyBorder="1" applyAlignment="1" applyProtection="1" quotePrefix="1">
      <alignment horizontal="left"/>
      <protection/>
    </xf>
    <xf numFmtId="0" fontId="96" fillId="35" borderId="42" xfId="0" applyFont="1" applyFill="1" applyBorder="1" applyAlignment="1" applyProtection="1">
      <alignment horizontal="left"/>
      <protection/>
    </xf>
    <xf numFmtId="0" fontId="38" fillId="45" borderId="87" xfId="0" applyFont="1" applyFill="1" applyBorder="1" applyAlignment="1" applyProtection="1" quotePrefix="1">
      <alignment horizontal="left"/>
      <protection/>
    </xf>
    <xf numFmtId="0" fontId="40" fillId="45" borderId="87" xfId="0" applyFont="1" applyFill="1" applyBorder="1" applyAlignment="1" applyProtection="1">
      <alignment horizontal="left"/>
      <protection/>
    </xf>
    <xf numFmtId="0" fontId="30" fillId="35" borderId="47" xfId="0" applyFont="1" applyFill="1" applyBorder="1" applyAlignment="1" applyProtection="1" quotePrefix="1">
      <alignment horizontal="left"/>
      <protection/>
    </xf>
    <xf numFmtId="0" fontId="30" fillId="35" borderId="47" xfId="0" applyFont="1" applyFill="1" applyBorder="1" applyAlignment="1" applyProtection="1">
      <alignment horizontal="left"/>
      <protection/>
    </xf>
    <xf numFmtId="3" fontId="30" fillId="35" borderId="47" xfId="0" applyNumberFormat="1" applyFont="1" applyFill="1" applyBorder="1" applyAlignment="1" applyProtection="1">
      <alignment/>
      <protection/>
    </xf>
    <xf numFmtId="0" fontId="30" fillId="42" borderId="33" xfId="0" applyFont="1" applyFill="1" applyBorder="1" applyAlignment="1" applyProtection="1">
      <alignment horizontal="left"/>
      <protection/>
    </xf>
    <xf numFmtId="3" fontId="30" fillId="42" borderId="33" xfId="0" applyNumberFormat="1" applyFont="1" applyFill="1" applyBorder="1" applyAlignment="1" applyProtection="1">
      <alignment/>
      <protection/>
    </xf>
    <xf numFmtId="0" fontId="30" fillId="42" borderId="49" xfId="0" applyFont="1" applyFill="1" applyBorder="1" applyAlignment="1" applyProtection="1" quotePrefix="1">
      <alignment horizontal="left"/>
      <protection/>
    </xf>
    <xf numFmtId="3" fontId="30" fillId="42" borderId="49" xfId="0" applyNumberFormat="1" applyFont="1" applyFill="1" applyBorder="1" applyAlignment="1" applyProtection="1">
      <alignment/>
      <protection/>
    </xf>
    <xf numFmtId="0" fontId="30" fillId="42" borderId="46" xfId="0" applyFont="1" applyFill="1" applyBorder="1" applyAlignment="1" applyProtection="1">
      <alignment horizontal="left"/>
      <protection/>
    </xf>
    <xf numFmtId="0" fontId="96" fillId="42" borderId="139" xfId="0" applyFont="1" applyFill="1" applyBorder="1" applyAlignment="1" applyProtection="1">
      <alignment horizontal="left"/>
      <protection/>
    </xf>
    <xf numFmtId="0" fontId="30" fillId="42" borderId="46" xfId="0" applyFont="1" applyFill="1" applyBorder="1" applyAlignment="1" applyProtection="1" quotePrefix="1">
      <alignment horizontal="left"/>
      <protection/>
    </xf>
    <xf numFmtId="3" fontId="30" fillId="42" borderId="46" xfId="0" applyNumberFormat="1" applyFont="1" applyFill="1" applyBorder="1" applyAlignment="1" applyProtection="1">
      <alignment/>
      <protection/>
    </xf>
    <xf numFmtId="3" fontId="30" fillId="35" borderId="41" xfId="0" applyNumberFormat="1" applyFont="1" applyFill="1" applyBorder="1" applyAlignment="1" applyProtection="1" quotePrefix="1">
      <alignment/>
      <protection/>
    </xf>
    <xf numFmtId="3" fontId="30" fillId="35" borderId="42" xfId="0" applyNumberFormat="1" applyFont="1" applyFill="1" applyBorder="1" applyAlignment="1" applyProtection="1" quotePrefix="1">
      <alignment/>
      <protection/>
    </xf>
    <xf numFmtId="183" fontId="30" fillId="35" borderId="47" xfId="42" applyFont="1" applyFill="1" applyBorder="1" applyAlignment="1" applyProtection="1">
      <alignment horizontal="left"/>
      <protection/>
    </xf>
    <xf numFmtId="0" fontId="96" fillId="35" borderId="47" xfId="0" applyFont="1" applyFill="1" applyBorder="1" applyAlignment="1" applyProtection="1">
      <alignment horizontal="left"/>
      <protection/>
    </xf>
    <xf numFmtId="3" fontId="30" fillId="35" borderId="47" xfId="0" applyNumberFormat="1" applyFont="1" applyFill="1" applyBorder="1" applyAlignment="1" applyProtection="1" quotePrefix="1">
      <alignment/>
      <protection/>
    </xf>
    <xf numFmtId="0" fontId="30" fillId="35" borderId="33" xfId="0" applyFont="1" applyFill="1" applyBorder="1" applyAlignment="1" applyProtection="1" quotePrefix="1">
      <alignment horizontal="left"/>
      <protection/>
    </xf>
    <xf numFmtId="3" fontId="30" fillId="35" borderId="33" xfId="0" applyNumberFormat="1" applyFont="1" applyFill="1" applyBorder="1" applyAlignment="1" applyProtection="1" quotePrefix="1">
      <alignment/>
      <protection/>
    </xf>
    <xf numFmtId="0" fontId="38" fillId="44" borderId="87" xfId="0" applyFont="1" applyFill="1" applyBorder="1" applyAlignment="1" applyProtection="1">
      <alignment horizontal="left"/>
      <protection/>
    </xf>
    <xf numFmtId="0" fontId="40" fillId="44" borderId="87" xfId="0" applyFont="1" applyFill="1" applyBorder="1" applyAlignment="1" applyProtection="1">
      <alignment horizontal="left"/>
      <protection/>
    </xf>
    <xf numFmtId="3" fontId="40" fillId="44" borderId="87" xfId="0" applyNumberFormat="1" applyFont="1" applyFill="1" applyBorder="1" applyAlignment="1" applyProtection="1">
      <alignment/>
      <protection/>
    </xf>
    <xf numFmtId="3" fontId="122" fillId="44" borderId="103" xfId="58" applyNumberFormat="1" applyFont="1" applyFill="1" applyBorder="1" applyAlignment="1" applyProtection="1">
      <alignment vertical="center"/>
      <protection/>
    </xf>
    <xf numFmtId="1" fontId="30" fillId="0" borderId="49" xfId="0" applyNumberFormat="1" applyFont="1" applyBorder="1" applyAlignment="1" applyProtection="1" quotePrefix="1">
      <alignment/>
      <protection/>
    </xf>
    <xf numFmtId="184" fontId="30" fillId="0" borderId="126" xfId="0" applyNumberFormat="1" applyFont="1" applyBorder="1" applyAlignment="1" applyProtection="1">
      <alignment/>
      <protection/>
    </xf>
    <xf numFmtId="3" fontId="30" fillId="0" borderId="41" xfId="0" applyNumberFormat="1" applyFont="1" applyBorder="1" applyAlignment="1" applyProtection="1" quotePrefix="1">
      <alignment/>
      <protection/>
    </xf>
    <xf numFmtId="184" fontId="30" fillId="0" borderId="54" xfId="0" applyNumberFormat="1" applyFont="1" applyBorder="1" applyAlignment="1" applyProtection="1">
      <alignment/>
      <protection/>
    </xf>
    <xf numFmtId="184" fontId="30" fillId="35" borderId="41" xfId="0" applyNumberFormat="1" applyFont="1" applyFill="1" applyBorder="1" applyAlignment="1" applyProtection="1">
      <alignment/>
      <protection/>
    </xf>
    <xf numFmtId="1" fontId="30" fillId="0" borderId="41" xfId="0" applyNumberFormat="1" applyFont="1" applyBorder="1" applyAlignment="1" applyProtection="1" quotePrefix="1">
      <alignment/>
      <protection/>
    </xf>
    <xf numFmtId="1" fontId="40" fillId="0" borderId="41" xfId="0" applyNumberFormat="1" applyFont="1" applyBorder="1" applyAlignment="1" applyProtection="1">
      <alignment/>
      <protection/>
    </xf>
    <xf numFmtId="1" fontId="40" fillId="0" borderId="43" xfId="0" applyNumberFormat="1" applyFont="1" applyBorder="1" applyAlignment="1" applyProtection="1">
      <alignment/>
      <protection/>
    </xf>
    <xf numFmtId="184" fontId="30" fillId="0" borderId="64" xfId="0" applyNumberFormat="1" applyFont="1" applyBorder="1" applyAlignment="1" applyProtection="1">
      <alignment/>
      <protection/>
    </xf>
    <xf numFmtId="0" fontId="40" fillId="35" borderId="47" xfId="0" applyFont="1" applyFill="1" applyBorder="1" applyAlignment="1" applyProtection="1" quotePrefix="1">
      <alignment horizontal="left"/>
      <protection/>
    </xf>
    <xf numFmtId="184" fontId="30" fillId="35" borderId="46" xfId="0" applyNumberFormat="1" applyFont="1" applyFill="1" applyBorder="1" applyAlignment="1" applyProtection="1">
      <alignment/>
      <protection/>
    </xf>
    <xf numFmtId="0" fontId="30" fillId="35" borderId="49" xfId="0" applyFont="1" applyFill="1" applyBorder="1" applyAlignment="1" applyProtection="1" quotePrefix="1">
      <alignment horizontal="left"/>
      <protection/>
    </xf>
    <xf numFmtId="0" fontId="40" fillId="35" borderId="46" xfId="0" applyFont="1" applyFill="1" applyBorder="1" applyAlignment="1" applyProtection="1">
      <alignment horizontal="left"/>
      <protection/>
    </xf>
    <xf numFmtId="0" fontId="30" fillId="35" borderId="36" xfId="0" applyFont="1" applyFill="1" applyBorder="1" applyAlignment="1" applyProtection="1">
      <alignment horizontal="left"/>
      <protection/>
    </xf>
    <xf numFmtId="3" fontId="30" fillId="35" borderId="36" xfId="0" applyNumberFormat="1" applyFont="1" applyFill="1" applyBorder="1" applyAlignment="1" applyProtection="1">
      <alignment/>
      <protection/>
    </xf>
    <xf numFmtId="3" fontId="40" fillId="33" borderId="18" xfId="0" applyNumberFormat="1" applyFont="1" applyFill="1" applyBorder="1" applyAlignment="1" applyProtection="1">
      <alignment horizontal="right"/>
      <protection/>
    </xf>
    <xf numFmtId="3" fontId="98" fillId="42" borderId="49" xfId="0" applyNumberFormat="1" applyFont="1" applyFill="1" applyBorder="1" applyAlignment="1" applyProtection="1">
      <alignment/>
      <protection/>
    </xf>
    <xf numFmtId="3" fontId="98" fillId="42" borderId="41" xfId="0" applyNumberFormat="1" applyFont="1" applyFill="1" applyBorder="1" applyAlignment="1" applyProtection="1">
      <alignment/>
      <protection/>
    </xf>
    <xf numFmtId="3" fontId="98" fillId="42" borderId="46" xfId="0" applyNumberFormat="1" applyFont="1" applyFill="1" applyBorder="1" applyAlignment="1" applyProtection="1">
      <alignment/>
      <protection/>
    </xf>
    <xf numFmtId="0" fontId="38" fillId="45" borderId="140" xfId="0" applyFont="1" applyFill="1" applyBorder="1" applyAlignment="1" applyProtection="1">
      <alignment horizontal="left"/>
      <protection/>
    </xf>
    <xf numFmtId="0" fontId="40" fillId="45" borderId="140" xfId="0" applyFont="1" applyFill="1" applyBorder="1" applyAlignment="1" applyProtection="1">
      <alignment horizontal="left"/>
      <protection/>
    </xf>
    <xf numFmtId="0" fontId="95" fillId="35" borderId="0" xfId="0" applyFont="1" applyFill="1" applyAlignment="1" applyProtection="1">
      <alignment horizontal="left"/>
      <protection/>
    </xf>
    <xf numFmtId="0" fontId="30" fillId="35" borderId="0" xfId="0" applyFont="1" applyFill="1" applyAlignment="1" applyProtection="1">
      <alignment horizontal="center" vertical="center"/>
      <protection/>
    </xf>
    <xf numFmtId="0" fontId="82" fillId="35" borderId="0" xfId="0" applyFont="1" applyFill="1" applyAlignment="1" applyProtection="1">
      <alignment horizontal="right"/>
      <protection/>
    </xf>
    <xf numFmtId="0" fontId="82" fillId="35" borderId="0" xfId="0" applyFont="1" applyFill="1" applyAlignment="1" applyProtection="1" quotePrefix="1">
      <alignment horizontal="left"/>
      <protection/>
    </xf>
    <xf numFmtId="0" fontId="30" fillId="35" borderId="24" xfId="0" applyFont="1" applyFill="1" applyBorder="1" applyAlignment="1" applyProtection="1">
      <alignment/>
      <protection/>
    </xf>
    <xf numFmtId="0" fontId="40" fillId="35" borderId="24" xfId="0" applyFont="1" applyFill="1" applyBorder="1" applyAlignment="1" applyProtection="1">
      <alignment/>
      <protection/>
    </xf>
    <xf numFmtId="0" fontId="38" fillId="35" borderId="0" xfId="0" applyFont="1" applyFill="1" applyAlignment="1" applyProtection="1">
      <alignment horizontal="left"/>
      <protection/>
    </xf>
    <xf numFmtId="0" fontId="40" fillId="35" borderId="0" xfId="0" applyFont="1" applyFill="1" applyAlignment="1" applyProtection="1">
      <alignment horizontal="left"/>
      <protection/>
    </xf>
    <xf numFmtId="0" fontId="82" fillId="35" borderId="0" xfId="0" applyFont="1" applyFill="1" applyBorder="1" applyAlignment="1" applyProtection="1">
      <alignment/>
      <protection/>
    </xf>
    <xf numFmtId="0" fontId="36" fillId="35" borderId="0" xfId="0" applyFont="1" applyFill="1" applyBorder="1" applyAlignment="1" applyProtection="1" quotePrefix="1">
      <alignment horizontal="left"/>
      <protection/>
    </xf>
    <xf numFmtId="0" fontId="38" fillId="35" borderId="0" xfId="0" applyFont="1" applyFill="1" applyAlignment="1" applyProtection="1">
      <alignment/>
      <protection/>
    </xf>
    <xf numFmtId="0" fontId="40" fillId="35" borderId="0" xfId="0" applyFont="1" applyFill="1" applyAlignment="1" applyProtection="1" quotePrefix="1">
      <alignment horizontal="left"/>
      <protection/>
    </xf>
    <xf numFmtId="184" fontId="40" fillId="35" borderId="17" xfId="0" applyNumberFormat="1" applyFont="1" applyFill="1" applyBorder="1" applyAlignment="1" applyProtection="1">
      <alignment horizontal="center" vertical="center" wrapText="1"/>
      <protection/>
    </xf>
    <xf numFmtId="0" fontId="40" fillId="35" borderId="17" xfId="0" applyFont="1" applyFill="1" applyBorder="1" applyAlignment="1" applyProtection="1">
      <alignment horizontal="center"/>
      <protection/>
    </xf>
    <xf numFmtId="0" fontId="37" fillId="35" borderId="17" xfId="0" applyFont="1" applyFill="1" applyBorder="1" applyAlignment="1" applyProtection="1">
      <alignment/>
      <protection/>
    </xf>
    <xf numFmtId="0" fontId="40" fillId="35" borderId="17" xfId="0" applyFont="1" applyFill="1" applyBorder="1" applyAlignment="1" applyProtection="1">
      <alignment/>
      <protection/>
    </xf>
    <xf numFmtId="4" fontId="40" fillId="35" borderId="17" xfId="0" applyNumberFormat="1" applyFont="1" applyFill="1" applyBorder="1" applyAlignment="1" applyProtection="1">
      <alignment/>
      <protection/>
    </xf>
    <xf numFmtId="1" fontId="40" fillId="35" borderId="17" xfId="0" applyNumberFormat="1" applyFont="1" applyFill="1" applyBorder="1" applyAlignment="1" applyProtection="1">
      <alignment horizontal="right"/>
      <protection/>
    </xf>
    <xf numFmtId="1" fontId="30" fillId="35" borderId="17" xfId="0" applyNumberFormat="1" applyFont="1" applyFill="1" applyBorder="1" applyAlignment="1" applyProtection="1" quotePrefix="1">
      <alignment horizontal="right"/>
      <protection/>
    </xf>
    <xf numFmtId="1" fontId="40" fillId="35" borderId="0" xfId="0" applyNumberFormat="1" applyFont="1" applyFill="1" applyBorder="1" applyAlignment="1" applyProtection="1">
      <alignment horizontal="right"/>
      <protection/>
    </xf>
    <xf numFmtId="1" fontId="30" fillId="35" borderId="0" xfId="0" applyNumberFormat="1" applyFont="1" applyFill="1" applyBorder="1" applyAlignment="1" applyProtection="1" quotePrefix="1">
      <alignment horizontal="right"/>
      <protection/>
    </xf>
    <xf numFmtId="3" fontId="30" fillId="35" borderId="0" xfId="0" applyNumberFormat="1" applyFont="1" applyFill="1" applyBorder="1" applyAlignment="1" applyProtection="1">
      <alignment/>
      <protection/>
    </xf>
    <xf numFmtId="184" fontId="30" fillId="35" borderId="0" xfId="0" applyNumberFormat="1" applyFont="1" applyFill="1" applyBorder="1" applyAlignment="1" applyProtection="1">
      <alignment/>
      <protection/>
    </xf>
    <xf numFmtId="0" fontId="40" fillId="35" borderId="0" xfId="0" applyFont="1" applyFill="1" applyAlignment="1" applyProtection="1">
      <alignment horizontal="center"/>
      <protection/>
    </xf>
    <xf numFmtId="0" fontId="30" fillId="35" borderId="0" xfId="0" applyFont="1" applyFill="1" applyAlignment="1" applyProtection="1">
      <alignment/>
      <protection/>
    </xf>
    <xf numFmtId="184" fontId="30" fillId="35" borderId="0" xfId="0" applyNumberFormat="1" applyFont="1" applyFill="1" applyAlignment="1" applyProtection="1">
      <alignment/>
      <protection/>
    </xf>
    <xf numFmtId="195" fontId="40" fillId="45" borderId="140" xfId="0" applyNumberFormat="1" applyFont="1" applyFill="1" applyBorder="1" applyAlignment="1" applyProtection="1">
      <alignment/>
      <protection/>
    </xf>
    <xf numFmtId="195" fontId="40" fillId="45" borderId="87" xfId="0" applyNumberFormat="1" applyFont="1" applyFill="1" applyBorder="1" applyAlignment="1" applyProtection="1">
      <alignment horizontal="right"/>
      <protection/>
    </xf>
    <xf numFmtId="0" fontId="40" fillId="35" borderId="89" xfId="0" applyFont="1" applyFill="1" applyBorder="1" applyAlignment="1" applyProtection="1">
      <alignment/>
      <protection/>
    </xf>
    <xf numFmtId="0" fontId="40" fillId="35" borderId="66" xfId="0" applyFont="1" applyFill="1" applyBorder="1" applyAlignment="1" applyProtection="1">
      <alignment/>
      <protection/>
    </xf>
    <xf numFmtId="0" fontId="40" fillId="35" borderId="91" xfId="0" applyFont="1" applyFill="1" applyBorder="1" applyAlignment="1" applyProtection="1">
      <alignment/>
      <protection/>
    </xf>
    <xf numFmtId="3" fontId="30" fillId="45" borderId="102" xfId="0" applyNumberFormat="1" applyFont="1" applyFill="1" applyBorder="1" applyAlignment="1" applyProtection="1">
      <alignment/>
      <protection/>
    </xf>
    <xf numFmtId="3" fontId="30" fillId="45" borderId="103" xfId="0" applyNumberFormat="1" applyFont="1" applyFill="1" applyBorder="1" applyAlignment="1" applyProtection="1">
      <alignment/>
      <protection/>
    </xf>
    <xf numFmtId="3" fontId="30" fillId="45" borderId="104" xfId="0" applyNumberFormat="1" applyFont="1" applyFill="1" applyBorder="1" applyAlignment="1" applyProtection="1">
      <alignment/>
      <protection/>
    </xf>
    <xf numFmtId="3" fontId="30" fillId="35" borderId="141" xfId="0" applyNumberFormat="1" applyFont="1" applyFill="1" applyBorder="1" applyAlignment="1" applyProtection="1">
      <alignment/>
      <protection/>
    </xf>
    <xf numFmtId="3" fontId="30" fillId="35" borderId="142" xfId="0" applyNumberFormat="1" applyFont="1" applyFill="1" applyBorder="1" applyAlignment="1" applyProtection="1">
      <alignment/>
      <protection/>
    </xf>
    <xf numFmtId="3" fontId="30" fillId="35" borderId="143" xfId="0" applyNumberFormat="1" applyFont="1" applyFill="1" applyBorder="1" applyAlignment="1" applyProtection="1">
      <alignment/>
      <protection/>
    </xf>
    <xf numFmtId="3" fontId="30" fillId="35" borderId="105" xfId="0" applyNumberFormat="1" applyFont="1" applyFill="1" applyBorder="1" applyAlignment="1" applyProtection="1">
      <alignment/>
      <protection/>
    </xf>
    <xf numFmtId="3" fontId="30" fillId="35" borderId="57" xfId="0" applyNumberFormat="1" applyFont="1" applyFill="1" applyBorder="1" applyAlignment="1" applyProtection="1">
      <alignment/>
      <protection/>
    </xf>
    <xf numFmtId="3" fontId="30" fillId="35" borderId="106" xfId="0" applyNumberFormat="1" applyFont="1" applyFill="1" applyBorder="1" applyAlignment="1" applyProtection="1">
      <alignment/>
      <protection/>
    </xf>
    <xf numFmtId="3" fontId="30" fillId="35" borderId="78" xfId="0" applyNumberFormat="1" applyFont="1" applyFill="1" applyBorder="1" applyAlignment="1" applyProtection="1">
      <alignment/>
      <protection/>
    </xf>
    <xf numFmtId="3" fontId="30" fillId="35" borderId="23" xfId="0" applyNumberFormat="1" applyFont="1" applyFill="1" applyBorder="1" applyAlignment="1" applyProtection="1">
      <alignment/>
      <protection/>
    </xf>
    <xf numFmtId="3" fontId="30" fillId="35" borderId="21" xfId="0" applyNumberFormat="1" applyFont="1" applyFill="1" applyBorder="1" applyAlignment="1" applyProtection="1">
      <alignment/>
      <protection/>
    </xf>
    <xf numFmtId="3" fontId="30" fillId="35" borderId="74" xfId="0" applyNumberFormat="1" applyFont="1" applyFill="1" applyBorder="1" applyAlignment="1" applyProtection="1">
      <alignment/>
      <protection/>
    </xf>
    <xf numFmtId="3" fontId="30" fillId="35" borderId="75" xfId="0" applyNumberFormat="1" applyFont="1" applyFill="1" applyBorder="1" applyAlignment="1" applyProtection="1">
      <alignment/>
      <protection/>
    </xf>
    <xf numFmtId="3" fontId="30" fillId="35" borderId="76" xfId="0" applyNumberFormat="1" applyFont="1" applyFill="1" applyBorder="1" applyAlignment="1" applyProtection="1">
      <alignment/>
      <protection/>
    </xf>
    <xf numFmtId="3" fontId="98" fillId="42" borderId="92" xfId="0" applyNumberFormat="1" applyFont="1" applyFill="1" applyBorder="1" applyAlignment="1" applyProtection="1">
      <alignment/>
      <protection/>
    </xf>
    <xf numFmtId="3" fontId="98" fillId="42" borderId="51" xfId="0" applyNumberFormat="1" applyFont="1" applyFill="1" applyBorder="1" applyAlignment="1" applyProtection="1">
      <alignment/>
      <protection/>
    </xf>
    <xf numFmtId="3" fontId="98" fillId="42" borderId="93" xfId="0" applyNumberFormat="1" applyFont="1" applyFill="1" applyBorder="1" applyAlignment="1" applyProtection="1">
      <alignment/>
      <protection/>
    </xf>
    <xf numFmtId="3" fontId="98" fillId="42" borderId="94" xfId="0" applyNumberFormat="1" applyFont="1" applyFill="1" applyBorder="1" applyAlignment="1" applyProtection="1">
      <alignment/>
      <protection/>
    </xf>
    <xf numFmtId="3" fontId="98" fillId="42" borderId="53" xfId="0" applyNumberFormat="1" applyFont="1" applyFill="1" applyBorder="1" applyAlignment="1" applyProtection="1">
      <alignment/>
      <protection/>
    </xf>
    <xf numFmtId="3" fontId="98" fillId="42" borderId="90" xfId="0" applyNumberFormat="1" applyFont="1" applyFill="1" applyBorder="1" applyAlignment="1" applyProtection="1">
      <alignment/>
      <protection/>
    </xf>
    <xf numFmtId="3" fontId="98" fillId="42" borderId="99" xfId="0" applyNumberFormat="1" applyFont="1" applyFill="1" applyBorder="1" applyAlignment="1" applyProtection="1">
      <alignment/>
      <protection/>
    </xf>
    <xf numFmtId="3" fontId="98" fillId="42" borderId="56" xfId="0" applyNumberFormat="1" applyFont="1" applyFill="1" applyBorder="1" applyAlignment="1" applyProtection="1">
      <alignment/>
      <protection/>
    </xf>
    <xf numFmtId="3" fontId="98" fillId="42" borderId="100" xfId="0" applyNumberFormat="1" applyFont="1" applyFill="1" applyBorder="1" applyAlignment="1" applyProtection="1">
      <alignment/>
      <protection/>
    </xf>
    <xf numFmtId="3" fontId="30" fillId="35" borderId="92" xfId="0" applyNumberFormat="1" applyFont="1" applyFill="1" applyBorder="1" applyAlignment="1" applyProtection="1">
      <alignment/>
      <protection/>
    </xf>
    <xf numFmtId="3" fontId="30" fillId="35" borderId="51" xfId="0" applyNumberFormat="1" applyFont="1" applyFill="1" applyBorder="1" applyAlignment="1" applyProtection="1">
      <alignment/>
      <protection/>
    </xf>
    <xf numFmtId="3" fontId="30" fillId="35" borderId="93" xfId="0" applyNumberFormat="1" applyFont="1" applyFill="1" applyBorder="1" applyAlignment="1" applyProtection="1">
      <alignment/>
      <protection/>
    </xf>
    <xf numFmtId="3" fontId="30" fillId="35" borderId="94" xfId="0" applyNumberFormat="1" applyFont="1" applyFill="1" applyBorder="1" applyAlignment="1" applyProtection="1">
      <alignment/>
      <protection/>
    </xf>
    <xf numFmtId="3" fontId="30" fillId="35" borderId="53" xfId="0" applyNumberFormat="1" applyFont="1" applyFill="1" applyBorder="1" applyAlignment="1" applyProtection="1">
      <alignment/>
      <protection/>
    </xf>
    <xf numFmtId="3" fontId="30" fillId="35" borderId="90" xfId="0" applyNumberFormat="1" applyFont="1" applyFill="1" applyBorder="1" applyAlignment="1" applyProtection="1">
      <alignment/>
      <protection/>
    </xf>
    <xf numFmtId="3" fontId="30" fillId="35" borderId="101" xfId="0" applyNumberFormat="1" applyFont="1" applyFill="1" applyBorder="1" applyAlignment="1" applyProtection="1">
      <alignment/>
      <protection/>
    </xf>
    <xf numFmtId="3" fontId="30" fillId="35" borderId="27" xfId="0" applyNumberFormat="1" applyFont="1" applyFill="1" applyBorder="1" applyAlignment="1" applyProtection="1">
      <alignment/>
      <protection/>
    </xf>
    <xf numFmtId="3" fontId="30" fillId="35" borderId="26" xfId="0" applyNumberFormat="1" applyFont="1" applyFill="1" applyBorder="1" applyAlignment="1" applyProtection="1">
      <alignment/>
      <protection/>
    </xf>
    <xf numFmtId="3" fontId="30" fillId="35" borderId="144" xfId="0" applyNumberFormat="1" applyFont="1" applyFill="1" applyBorder="1" applyAlignment="1" applyProtection="1">
      <alignment/>
      <protection/>
    </xf>
    <xf numFmtId="3" fontId="30" fillId="35" borderId="145" xfId="0" applyNumberFormat="1" applyFont="1" applyFill="1" applyBorder="1" applyAlignment="1" applyProtection="1">
      <alignment/>
      <protection/>
    </xf>
    <xf numFmtId="3" fontId="30" fillId="35" borderId="146" xfId="0" applyNumberFormat="1" applyFont="1" applyFill="1" applyBorder="1" applyAlignment="1" applyProtection="1">
      <alignment/>
      <protection/>
    </xf>
    <xf numFmtId="3" fontId="30" fillId="35" borderId="92" xfId="0" applyNumberFormat="1" applyFont="1" applyFill="1" applyBorder="1" applyAlignment="1" applyProtection="1" quotePrefix="1">
      <alignment/>
      <protection/>
    </xf>
    <xf numFmtId="3" fontId="30" fillId="35" borderId="51" xfId="0" applyNumberFormat="1" applyFont="1" applyFill="1" applyBorder="1" applyAlignment="1" applyProtection="1" quotePrefix="1">
      <alignment/>
      <protection/>
    </xf>
    <xf numFmtId="3" fontId="30" fillId="35" borderId="93" xfId="0" applyNumberFormat="1" applyFont="1" applyFill="1" applyBorder="1" applyAlignment="1" applyProtection="1" quotePrefix="1">
      <alignment/>
      <protection/>
    </xf>
    <xf numFmtId="3" fontId="30" fillId="35" borderId="99" xfId="0" applyNumberFormat="1" applyFont="1" applyFill="1" applyBorder="1" applyAlignment="1" applyProtection="1" quotePrefix="1">
      <alignment/>
      <protection/>
    </xf>
    <xf numFmtId="3" fontId="30" fillId="35" borderId="56" xfId="0" applyNumberFormat="1" applyFont="1" applyFill="1" applyBorder="1" applyAlignment="1" applyProtection="1" quotePrefix="1">
      <alignment/>
      <protection/>
    </xf>
    <xf numFmtId="3" fontId="30" fillId="35" borderId="100" xfId="0" applyNumberFormat="1" applyFont="1" applyFill="1" applyBorder="1" applyAlignment="1" applyProtection="1" quotePrefix="1">
      <alignment/>
      <protection/>
    </xf>
    <xf numFmtId="3" fontId="30" fillId="42" borderId="78" xfId="0" applyNumberFormat="1" applyFont="1" applyFill="1" applyBorder="1" applyAlignment="1" applyProtection="1">
      <alignment/>
      <protection/>
    </xf>
    <xf numFmtId="3" fontId="30" fillId="42" borderId="23" xfId="0" applyNumberFormat="1" applyFont="1" applyFill="1" applyBorder="1" applyAlignment="1" applyProtection="1">
      <alignment/>
      <protection/>
    </xf>
    <xf numFmtId="3" fontId="30" fillId="42" borderId="21" xfId="0" applyNumberFormat="1" applyFont="1" applyFill="1" applyBorder="1" applyAlignment="1" applyProtection="1">
      <alignment/>
      <protection/>
    </xf>
    <xf numFmtId="3" fontId="30" fillId="35" borderId="129" xfId="0" applyNumberFormat="1" applyFont="1" applyFill="1" applyBorder="1" applyAlignment="1" applyProtection="1">
      <alignment/>
      <protection/>
    </xf>
    <xf numFmtId="3" fontId="30" fillId="35" borderId="125" xfId="0" applyNumberFormat="1" applyFont="1" applyFill="1" applyBorder="1" applyAlignment="1" applyProtection="1">
      <alignment/>
      <protection/>
    </xf>
    <xf numFmtId="3" fontId="30" fillId="35" borderId="127" xfId="0" applyNumberFormat="1" applyFont="1" applyFill="1" applyBorder="1" applyAlignment="1" applyProtection="1">
      <alignment/>
      <protection/>
    </xf>
    <xf numFmtId="3" fontId="30" fillId="42" borderId="92" xfId="0" applyNumberFormat="1" applyFont="1" applyFill="1" applyBorder="1" applyAlignment="1" applyProtection="1">
      <alignment/>
      <protection/>
    </xf>
    <xf numFmtId="3" fontId="30" fillId="42" borderId="51" xfId="0" applyNumberFormat="1" applyFont="1" applyFill="1" applyBorder="1" applyAlignment="1" applyProtection="1">
      <alignment/>
      <protection/>
    </xf>
    <xf numFmtId="3" fontId="30" fillId="42" borderId="93" xfId="0" applyNumberFormat="1" applyFont="1" applyFill="1" applyBorder="1" applyAlignment="1" applyProtection="1">
      <alignment/>
      <protection/>
    </xf>
    <xf numFmtId="3" fontId="30" fillId="42" borderId="99" xfId="0" applyNumberFormat="1" applyFont="1" applyFill="1" applyBorder="1" applyAlignment="1" applyProtection="1">
      <alignment/>
      <protection/>
    </xf>
    <xf numFmtId="3" fontId="30" fillId="42" borderId="56" xfId="0" applyNumberFormat="1" applyFont="1" applyFill="1" applyBorder="1" applyAlignment="1" applyProtection="1">
      <alignment/>
      <protection/>
    </xf>
    <xf numFmtId="3" fontId="30" fillId="42" borderId="100" xfId="0" applyNumberFormat="1" applyFont="1" applyFill="1" applyBorder="1" applyAlignment="1" applyProtection="1">
      <alignment/>
      <protection/>
    </xf>
    <xf numFmtId="3" fontId="30" fillId="35" borderId="89" xfId="0" applyNumberFormat="1" applyFont="1" applyFill="1" applyBorder="1" applyAlignment="1" applyProtection="1" quotePrefix="1">
      <alignment/>
      <protection/>
    </xf>
    <xf numFmtId="3" fontId="30" fillId="35" borderId="66" xfId="0" applyNumberFormat="1" applyFont="1" applyFill="1" applyBorder="1" applyAlignment="1" applyProtection="1" quotePrefix="1">
      <alignment/>
      <protection/>
    </xf>
    <xf numFmtId="3" fontId="30" fillId="35" borderId="91" xfId="0" applyNumberFormat="1" applyFont="1" applyFill="1" applyBorder="1" applyAlignment="1" applyProtection="1" quotePrefix="1">
      <alignment/>
      <protection/>
    </xf>
    <xf numFmtId="3" fontId="30" fillId="44" borderId="102" xfId="0" applyNumberFormat="1" applyFont="1" applyFill="1" applyBorder="1" applyAlignment="1" applyProtection="1">
      <alignment/>
      <protection/>
    </xf>
    <xf numFmtId="3" fontId="30" fillId="44" borderId="103" xfId="0" applyNumberFormat="1" applyFont="1" applyFill="1" applyBorder="1" applyAlignment="1" applyProtection="1">
      <alignment/>
      <protection/>
    </xf>
    <xf numFmtId="3" fontId="30" fillId="44" borderId="104" xfId="0" applyNumberFormat="1" applyFont="1" applyFill="1" applyBorder="1" applyAlignment="1" applyProtection="1">
      <alignment/>
      <protection/>
    </xf>
    <xf numFmtId="3" fontId="30" fillId="35" borderId="129" xfId="0" applyNumberFormat="1" applyFont="1" applyFill="1" applyBorder="1" applyAlignment="1" applyProtection="1" quotePrefix="1">
      <alignment/>
      <protection/>
    </xf>
    <xf numFmtId="3" fontId="30" fillId="35" borderId="125" xfId="0" applyNumberFormat="1" applyFont="1" applyFill="1" applyBorder="1" applyAlignment="1" applyProtection="1" quotePrefix="1">
      <alignment/>
      <protection/>
    </xf>
    <xf numFmtId="3" fontId="30" fillId="35" borderId="127" xfId="0" applyNumberFormat="1" applyFont="1" applyFill="1" applyBorder="1" applyAlignment="1" applyProtection="1" quotePrefix="1">
      <alignment/>
      <protection/>
    </xf>
    <xf numFmtId="3" fontId="30" fillId="35" borderId="94" xfId="0" applyNumberFormat="1" applyFont="1" applyFill="1" applyBorder="1" applyAlignment="1" applyProtection="1" quotePrefix="1">
      <alignment/>
      <protection/>
    </xf>
    <xf numFmtId="3" fontId="30" fillId="35" borderId="53" xfId="0" applyNumberFormat="1" applyFont="1" applyFill="1" applyBorder="1" applyAlignment="1" applyProtection="1" quotePrefix="1">
      <alignment/>
      <protection/>
    </xf>
    <xf numFmtId="3" fontId="30" fillId="35" borderId="90" xfId="0" applyNumberFormat="1" applyFont="1" applyFill="1" applyBorder="1" applyAlignment="1" applyProtection="1" quotePrefix="1">
      <alignment/>
      <protection/>
    </xf>
    <xf numFmtId="3" fontId="30" fillId="35" borderId="105" xfId="0" applyNumberFormat="1" applyFont="1" applyFill="1" applyBorder="1" applyAlignment="1" applyProtection="1" quotePrefix="1">
      <alignment/>
      <protection/>
    </xf>
    <xf numFmtId="3" fontId="30" fillId="35" borderId="57" xfId="0" applyNumberFormat="1" applyFont="1" applyFill="1" applyBorder="1" applyAlignment="1" applyProtection="1" quotePrefix="1">
      <alignment/>
      <protection/>
    </xf>
    <xf numFmtId="3" fontId="30" fillId="35" borderId="106" xfId="0" applyNumberFormat="1" applyFont="1" applyFill="1" applyBorder="1" applyAlignment="1" applyProtection="1" quotePrefix="1">
      <alignment/>
      <protection/>
    </xf>
    <xf numFmtId="3" fontId="30" fillId="35" borderId="78" xfId="0" applyNumberFormat="1" applyFont="1" applyFill="1" applyBorder="1" applyAlignment="1" applyProtection="1" quotePrefix="1">
      <alignment/>
      <protection/>
    </xf>
    <xf numFmtId="3" fontId="30" fillId="35" borderId="23" xfId="0" applyNumberFormat="1" applyFont="1" applyFill="1" applyBorder="1" applyAlignment="1" applyProtection="1" quotePrefix="1">
      <alignment/>
      <protection/>
    </xf>
    <xf numFmtId="3" fontId="30" fillId="35" borderId="21" xfId="0" applyNumberFormat="1" applyFont="1" applyFill="1" applyBorder="1" applyAlignment="1" applyProtection="1" quotePrefix="1">
      <alignment/>
      <protection/>
    </xf>
    <xf numFmtId="3" fontId="30" fillId="42" borderId="102" xfId="0" applyNumberFormat="1" applyFont="1" applyFill="1" applyBorder="1" applyAlignment="1" applyProtection="1">
      <alignment/>
      <protection/>
    </xf>
    <xf numFmtId="3" fontId="30" fillId="42" borderId="103" xfId="0" applyNumberFormat="1" applyFont="1" applyFill="1" applyBorder="1" applyAlignment="1" applyProtection="1">
      <alignment/>
      <protection/>
    </xf>
    <xf numFmtId="3" fontId="30" fillId="42" borderId="104" xfId="0" applyNumberFormat="1" applyFont="1" applyFill="1" applyBorder="1" applyAlignment="1" applyProtection="1">
      <alignment/>
      <protection/>
    </xf>
    <xf numFmtId="195" fontId="30" fillId="42" borderId="130" xfId="0" applyNumberFormat="1" applyFont="1" applyFill="1" applyBorder="1" applyAlignment="1" applyProtection="1">
      <alignment/>
      <protection/>
    </xf>
    <xf numFmtId="195" fontId="30" fillId="42" borderId="147" xfId="0" applyNumberFormat="1" applyFont="1" applyFill="1" applyBorder="1" applyAlignment="1" applyProtection="1">
      <alignment/>
      <protection/>
    </xf>
    <xf numFmtId="195" fontId="30" fillId="42" borderId="131" xfId="0" applyNumberFormat="1" applyFont="1" applyFill="1" applyBorder="1" applyAlignment="1" applyProtection="1">
      <alignment/>
      <protection/>
    </xf>
    <xf numFmtId="195" fontId="30" fillId="42" borderId="102" xfId="0" applyNumberFormat="1" applyFont="1" applyFill="1" applyBorder="1" applyAlignment="1" applyProtection="1">
      <alignment horizontal="right"/>
      <protection/>
    </xf>
    <xf numFmtId="195" fontId="30" fillId="42" borderId="103" xfId="0" applyNumberFormat="1" applyFont="1" applyFill="1" applyBorder="1" applyAlignment="1" applyProtection="1">
      <alignment horizontal="right"/>
      <protection/>
    </xf>
    <xf numFmtId="195" fontId="30" fillId="42" borderId="104" xfId="0" applyNumberFormat="1" applyFont="1" applyFill="1" applyBorder="1" applyAlignment="1" applyProtection="1">
      <alignment horizontal="right"/>
      <protection/>
    </xf>
    <xf numFmtId="3" fontId="30" fillId="35" borderId="89" xfId="0" applyNumberFormat="1" applyFont="1" applyFill="1" applyBorder="1" applyAlignment="1" applyProtection="1">
      <alignment horizontal="right"/>
      <protection/>
    </xf>
    <xf numFmtId="3" fontId="30" fillId="35" borderId="66" xfId="0" applyNumberFormat="1" applyFont="1" applyFill="1" applyBorder="1" applyAlignment="1" applyProtection="1">
      <alignment horizontal="right"/>
      <protection/>
    </xf>
    <xf numFmtId="3" fontId="30" fillId="35" borderId="91" xfId="0" applyNumberFormat="1" applyFont="1" applyFill="1" applyBorder="1" applyAlignment="1" applyProtection="1">
      <alignment horizontal="right"/>
      <protection/>
    </xf>
    <xf numFmtId="3" fontId="30" fillId="35" borderId="148" xfId="0" applyNumberFormat="1" applyFont="1" applyFill="1" applyBorder="1" applyAlignment="1" applyProtection="1">
      <alignment/>
      <protection/>
    </xf>
    <xf numFmtId="3" fontId="30" fillId="35" borderId="28" xfId="0" applyNumberFormat="1" applyFont="1" applyFill="1" applyBorder="1" applyAlignment="1" applyProtection="1">
      <alignment/>
      <protection/>
    </xf>
    <xf numFmtId="3" fontId="30" fillId="35" borderId="29" xfId="0" applyNumberFormat="1" applyFont="1" applyFill="1" applyBorder="1" applyAlignment="1" applyProtection="1">
      <alignment/>
      <protection/>
    </xf>
    <xf numFmtId="0" fontId="40" fillId="35" borderId="24" xfId="0" applyFont="1" applyFill="1" applyBorder="1" applyAlignment="1" applyProtection="1">
      <alignment horizontal="right"/>
      <protection/>
    </xf>
    <xf numFmtId="0" fontId="38" fillId="35" borderId="37" xfId="0" applyFont="1" applyFill="1" applyBorder="1" applyAlignment="1" applyProtection="1" quotePrefix="1">
      <alignment horizontal="center" vertical="top"/>
      <protection/>
    </xf>
    <xf numFmtId="0" fontId="40" fillId="35" borderId="18" xfId="0" applyFont="1" applyFill="1" applyBorder="1" applyAlignment="1" applyProtection="1">
      <alignment horizontal="center"/>
      <protection/>
    </xf>
    <xf numFmtId="0" fontId="40" fillId="35" borderId="101" xfId="0" applyFont="1" applyFill="1" applyBorder="1" applyAlignment="1" applyProtection="1">
      <alignment horizontal="center"/>
      <protection/>
    </xf>
    <xf numFmtId="0" fontId="40" fillId="35" borderId="27" xfId="0" applyFont="1" applyFill="1" applyBorder="1" applyAlignment="1" applyProtection="1">
      <alignment horizontal="center"/>
      <protection/>
    </xf>
    <xf numFmtId="0" fontId="40" fillId="35" borderId="26" xfId="0" applyFont="1" applyFill="1" applyBorder="1" applyAlignment="1" applyProtection="1">
      <alignment horizontal="center"/>
      <protection/>
    </xf>
    <xf numFmtId="0" fontId="30" fillId="35" borderId="33" xfId="0" applyFont="1" applyFill="1" applyBorder="1" applyAlignment="1" applyProtection="1">
      <alignment/>
      <protection/>
    </xf>
    <xf numFmtId="3" fontId="98" fillId="42" borderId="51" xfId="0" applyNumberFormat="1" applyFont="1" applyFill="1" applyBorder="1" applyAlignment="1" applyProtection="1">
      <alignment horizontal="center"/>
      <protection/>
    </xf>
    <xf numFmtId="3" fontId="98" fillId="42" borderId="53" xfId="0" applyNumberFormat="1" applyFont="1" applyFill="1" applyBorder="1" applyAlignment="1" applyProtection="1">
      <alignment horizontal="center"/>
      <protection/>
    </xf>
    <xf numFmtId="3" fontId="98" fillId="42" borderId="56" xfId="0" applyNumberFormat="1" applyFont="1" applyFill="1" applyBorder="1" applyAlignment="1" applyProtection="1">
      <alignment horizontal="center"/>
      <protection/>
    </xf>
    <xf numFmtId="0" fontId="37" fillId="44" borderId="0" xfId="0" applyFont="1" applyFill="1" applyBorder="1" applyAlignment="1" applyProtection="1">
      <alignment/>
      <protection/>
    </xf>
    <xf numFmtId="0" fontId="82" fillId="44" borderId="0" xfId="0" applyFont="1" applyFill="1" applyBorder="1" applyAlignment="1" applyProtection="1">
      <alignment/>
      <protection/>
    </xf>
    <xf numFmtId="0" fontId="30" fillId="44" borderId="0" xfId="0" applyFont="1" applyFill="1" applyBorder="1" applyAlignment="1" applyProtection="1">
      <alignment/>
      <protection/>
    </xf>
    <xf numFmtId="184" fontId="30" fillId="44" borderId="0" xfId="0" applyNumberFormat="1" applyFont="1" applyFill="1" applyBorder="1" applyAlignment="1" applyProtection="1">
      <alignment/>
      <protection/>
    </xf>
    <xf numFmtId="184" fontId="40" fillId="44" borderId="0" xfId="0" applyNumberFormat="1" applyFont="1" applyFill="1" applyBorder="1" applyAlignment="1" applyProtection="1">
      <alignment/>
      <protection/>
    </xf>
    <xf numFmtId="0" fontId="12" fillId="35" borderId="54" xfId="66" applyFont="1" applyFill="1" applyBorder="1" applyAlignment="1">
      <alignment horizontal="left" vertical="center" wrapText="1"/>
      <protection/>
    </xf>
    <xf numFmtId="0" fontId="12" fillId="35" borderId="0" xfId="66" applyFont="1" applyFill="1" applyBorder="1" applyAlignment="1">
      <alignment horizontal="left" vertical="center" wrapText="1"/>
      <protection/>
    </xf>
    <xf numFmtId="0" fontId="159" fillId="46" borderId="102" xfId="66" applyFont="1" applyFill="1" applyBorder="1" applyAlignment="1" quotePrefix="1">
      <alignment horizontal="right" vertical="center"/>
      <protection/>
    </xf>
    <xf numFmtId="0" fontId="37" fillId="35" borderId="0" xfId="0" applyFont="1" applyFill="1" applyBorder="1" applyAlignment="1" applyProtection="1">
      <alignment/>
      <protection/>
    </xf>
    <xf numFmtId="0" fontId="97" fillId="35" borderId="0" xfId="0" applyFont="1" applyFill="1" applyAlignment="1" applyProtection="1">
      <alignment/>
      <protection/>
    </xf>
    <xf numFmtId="0" fontId="37" fillId="35" borderId="126" xfId="0" applyFont="1" applyFill="1" applyBorder="1" applyAlignment="1" applyProtection="1">
      <alignment/>
      <protection/>
    </xf>
    <xf numFmtId="0" fontId="37" fillId="35" borderId="54" xfId="0" applyFont="1" applyFill="1" applyBorder="1" applyAlignment="1" applyProtection="1">
      <alignment/>
      <protection/>
    </xf>
    <xf numFmtId="0" fontId="37" fillId="35" borderId="64" xfId="0" applyFont="1" applyFill="1" applyBorder="1" applyAlignment="1" applyProtection="1">
      <alignment/>
      <protection/>
    </xf>
    <xf numFmtId="0" fontId="37" fillId="44" borderId="0" xfId="0" applyFont="1" applyFill="1" applyAlignment="1" applyProtection="1">
      <alignment/>
      <protection/>
    </xf>
    <xf numFmtId="0" fontId="82" fillId="44" borderId="0" xfId="0" applyFont="1" applyFill="1" applyAlignment="1" applyProtection="1">
      <alignment/>
      <protection/>
    </xf>
    <xf numFmtId="0" fontId="6" fillId="35" borderId="0" xfId="58" applyFont="1" applyFill="1" applyAlignment="1">
      <alignment horizontal="left" vertical="center"/>
      <protection/>
    </xf>
    <xf numFmtId="186" fontId="6" fillId="35" borderId="0" xfId="58" applyNumberFormat="1" applyFont="1" applyFill="1" applyAlignment="1">
      <alignment horizontal="center" vertical="center"/>
      <protection/>
    </xf>
    <xf numFmtId="186" fontId="6" fillId="35" borderId="0" xfId="58" applyNumberFormat="1" applyFont="1" applyFill="1" applyAlignment="1">
      <alignment horizontal="left" vertical="center"/>
      <protection/>
    </xf>
    <xf numFmtId="0" fontId="95" fillId="45" borderId="23" xfId="0" applyFont="1" applyFill="1" applyBorder="1" applyAlignment="1" applyProtection="1">
      <alignment horizontal="center" vertical="center"/>
      <protection/>
    </xf>
    <xf numFmtId="0" fontId="36" fillId="45" borderId="149" xfId="0" applyFont="1" applyFill="1" applyBorder="1" applyAlignment="1" applyProtection="1" quotePrefix="1">
      <alignment horizontal="left"/>
      <protection/>
    </xf>
    <xf numFmtId="0" fontId="82" fillId="45" borderId="149" xfId="0" applyFont="1" applyFill="1" applyBorder="1" applyAlignment="1" applyProtection="1">
      <alignment/>
      <protection/>
    </xf>
    <xf numFmtId="0" fontId="82" fillId="45" borderId="150" xfId="0" applyFont="1" applyFill="1" applyBorder="1" applyAlignment="1" applyProtection="1">
      <alignment/>
      <protection/>
    </xf>
    <xf numFmtId="185" fontId="14" fillId="42" borderId="23" xfId="58" applyNumberFormat="1" applyFont="1" applyFill="1" applyBorder="1" applyAlignment="1" applyProtection="1" quotePrefix="1">
      <alignment horizontal="center" vertical="center"/>
      <protection/>
    </xf>
    <xf numFmtId="185" fontId="160" fillId="42" borderId="60" xfId="58" applyNumberFormat="1" applyFont="1" applyFill="1" applyBorder="1" applyAlignment="1" applyProtection="1">
      <alignment horizontal="center" vertical="center"/>
      <protection locked="0"/>
    </xf>
    <xf numFmtId="0" fontId="95" fillId="35" borderId="75" xfId="0" applyFont="1" applyFill="1" applyBorder="1" applyAlignment="1" applyProtection="1">
      <alignment horizontal="left"/>
      <protection/>
    </xf>
    <xf numFmtId="0" fontId="95" fillId="35" borderId="23" xfId="0" applyFont="1" applyFill="1" applyBorder="1" applyAlignment="1" applyProtection="1" quotePrefix="1">
      <alignment horizontal="left"/>
      <protection/>
    </xf>
    <xf numFmtId="0" fontId="95" fillId="35" borderId="66" xfId="0" applyFont="1" applyFill="1" applyBorder="1" applyAlignment="1" applyProtection="1">
      <alignment horizontal="left"/>
      <protection/>
    </xf>
    <xf numFmtId="3" fontId="95" fillId="45" borderId="103" xfId="0" applyNumberFormat="1" applyFont="1" applyFill="1" applyBorder="1" applyAlignment="1" applyProtection="1">
      <alignment horizontal="center"/>
      <protection/>
    </xf>
    <xf numFmtId="3" fontId="98" fillId="35" borderId="142" xfId="0" applyNumberFormat="1" applyFont="1" applyFill="1" applyBorder="1" applyAlignment="1" applyProtection="1">
      <alignment horizontal="center"/>
      <protection/>
    </xf>
    <xf numFmtId="3" fontId="98" fillId="35" borderId="57" xfId="0" applyNumberFormat="1" applyFont="1" applyFill="1" applyBorder="1" applyAlignment="1" applyProtection="1">
      <alignment horizontal="center"/>
      <protection/>
    </xf>
    <xf numFmtId="3" fontId="98" fillId="35" borderId="23" xfId="0" applyNumberFormat="1" applyFont="1" applyFill="1" applyBorder="1" applyAlignment="1" applyProtection="1">
      <alignment horizontal="center"/>
      <protection/>
    </xf>
    <xf numFmtId="3" fontId="98" fillId="35" borderId="75" xfId="0" applyNumberFormat="1" applyFont="1" applyFill="1" applyBorder="1" applyAlignment="1" applyProtection="1">
      <alignment horizontal="center"/>
      <protection/>
    </xf>
    <xf numFmtId="3" fontId="98" fillId="35" borderId="51" xfId="0" applyNumberFormat="1" applyFont="1" applyFill="1" applyBorder="1" applyAlignment="1" applyProtection="1">
      <alignment horizontal="center"/>
      <protection/>
    </xf>
    <xf numFmtId="3" fontId="98" fillId="35" borderId="53" xfId="0" applyNumberFormat="1" applyFont="1" applyFill="1" applyBorder="1" applyAlignment="1" applyProtection="1">
      <alignment horizontal="center"/>
      <protection/>
    </xf>
    <xf numFmtId="3" fontId="98" fillId="35" borderId="27" xfId="0" applyNumberFormat="1" applyFont="1" applyFill="1" applyBorder="1" applyAlignment="1" applyProtection="1">
      <alignment horizontal="center"/>
      <protection/>
    </xf>
    <xf numFmtId="3" fontId="98" fillId="35" borderId="145" xfId="0" applyNumberFormat="1" applyFont="1" applyFill="1" applyBorder="1" applyAlignment="1" applyProtection="1">
      <alignment horizontal="center"/>
      <protection/>
    </xf>
    <xf numFmtId="3" fontId="98" fillId="35" borderId="51" xfId="0" applyNumberFormat="1" applyFont="1" applyFill="1" applyBorder="1" applyAlignment="1" applyProtection="1" quotePrefix="1">
      <alignment horizontal="center"/>
      <protection/>
    </xf>
    <xf numFmtId="3" fontId="98" fillId="35" borderId="56" xfId="0" applyNumberFormat="1" applyFont="1" applyFill="1" applyBorder="1" applyAlignment="1" applyProtection="1" quotePrefix="1">
      <alignment horizontal="center"/>
      <protection/>
    </xf>
    <xf numFmtId="3" fontId="98" fillId="42" borderId="23" xfId="0" applyNumberFormat="1" applyFont="1" applyFill="1" applyBorder="1" applyAlignment="1" applyProtection="1">
      <alignment horizontal="center"/>
      <protection/>
    </xf>
    <xf numFmtId="3" fontId="98" fillId="35" borderId="125" xfId="0" applyNumberFormat="1" applyFont="1" applyFill="1" applyBorder="1" applyAlignment="1" applyProtection="1">
      <alignment horizontal="center"/>
      <protection/>
    </xf>
    <xf numFmtId="3" fontId="98" fillId="35" borderId="66" xfId="0" applyNumberFormat="1" applyFont="1" applyFill="1" applyBorder="1" applyAlignment="1" applyProtection="1" quotePrefix="1">
      <alignment horizontal="center"/>
      <protection/>
    </xf>
    <xf numFmtId="3" fontId="98" fillId="44" borderId="103" xfId="0" applyNumberFormat="1" applyFont="1" applyFill="1" applyBorder="1" applyAlignment="1" applyProtection="1">
      <alignment horizontal="center"/>
      <protection/>
    </xf>
    <xf numFmtId="3" fontId="98" fillId="35" borderId="125" xfId="0" applyNumberFormat="1" applyFont="1" applyFill="1" applyBorder="1" applyAlignment="1" applyProtection="1" quotePrefix="1">
      <alignment horizontal="center"/>
      <protection/>
    </xf>
    <xf numFmtId="3" fontId="98" fillId="35" borderId="53" xfId="0" applyNumberFormat="1" applyFont="1" applyFill="1" applyBorder="1" applyAlignment="1" applyProtection="1" quotePrefix="1">
      <alignment horizontal="center"/>
      <protection/>
    </xf>
    <xf numFmtId="3" fontId="98" fillId="35" borderId="57" xfId="0" applyNumberFormat="1" applyFont="1" applyFill="1" applyBorder="1" applyAlignment="1" applyProtection="1" quotePrefix="1">
      <alignment horizontal="center"/>
      <protection/>
    </xf>
    <xf numFmtId="3" fontId="98" fillId="35" borderId="23" xfId="0" applyNumberFormat="1" applyFont="1" applyFill="1" applyBorder="1" applyAlignment="1" applyProtection="1" quotePrefix="1">
      <alignment horizontal="center"/>
      <protection/>
    </xf>
    <xf numFmtId="3" fontId="98" fillId="42" borderId="103" xfId="0" applyNumberFormat="1" applyFont="1" applyFill="1" applyBorder="1" applyAlignment="1" applyProtection="1">
      <alignment horizontal="center"/>
      <protection/>
    </xf>
    <xf numFmtId="3" fontId="98" fillId="45" borderId="147" xfId="0" applyNumberFormat="1" applyFont="1" applyFill="1" applyBorder="1" applyAlignment="1" applyProtection="1">
      <alignment horizontal="center"/>
      <protection/>
    </xf>
    <xf numFmtId="3" fontId="98" fillId="35" borderId="75" xfId="0" applyNumberFormat="1" applyFont="1" applyFill="1" applyBorder="1" applyAlignment="1" applyProtection="1" quotePrefix="1">
      <alignment horizontal="center"/>
      <protection/>
    </xf>
    <xf numFmtId="3" fontId="98" fillId="45" borderId="103" xfId="0" applyNumberFormat="1" applyFont="1" applyFill="1" applyBorder="1" applyAlignment="1" applyProtection="1">
      <alignment horizontal="center"/>
      <protection/>
    </xf>
    <xf numFmtId="3" fontId="98" fillId="35" borderId="66" xfId="0" applyNumberFormat="1" applyFont="1" applyFill="1" applyBorder="1" applyAlignment="1" applyProtection="1">
      <alignment horizontal="center"/>
      <protection/>
    </xf>
    <xf numFmtId="3" fontId="98" fillId="35" borderId="28" xfId="0" applyNumberFormat="1" applyFont="1" applyFill="1" applyBorder="1" applyAlignment="1" applyProtection="1">
      <alignment horizontal="center"/>
      <protection/>
    </xf>
    <xf numFmtId="196" fontId="161" fillId="35" borderId="0" xfId="62" applyNumberFormat="1" applyFont="1" applyFill="1" applyBorder="1" applyProtection="1">
      <alignment/>
      <protection/>
    </xf>
    <xf numFmtId="196" fontId="161" fillId="35" borderId="0" xfId="62" applyNumberFormat="1" applyFont="1" applyFill="1" applyBorder="1" applyAlignment="1" applyProtection="1">
      <alignment horizontal="center"/>
      <protection/>
    </xf>
    <xf numFmtId="196" fontId="162" fillId="35" borderId="0" xfId="62" applyNumberFormat="1" applyFont="1" applyFill="1" applyBorder="1" applyAlignment="1" applyProtection="1">
      <alignment horizontal="center"/>
      <protection/>
    </xf>
    <xf numFmtId="187" fontId="12" fillId="35" borderId="83" xfId="66" applyNumberFormat="1" applyFont="1" applyFill="1" applyBorder="1" applyAlignment="1" quotePrefix="1">
      <alignment horizontal="right" vertical="center"/>
      <protection/>
    </xf>
    <xf numFmtId="0" fontId="163" fillId="48" borderId="45" xfId="62" applyFont="1" applyFill="1" applyBorder="1" applyAlignment="1" applyProtection="1">
      <alignment horizontal="center"/>
      <protection/>
    </xf>
    <xf numFmtId="0" fontId="37" fillId="35" borderId="59" xfId="0" applyFont="1" applyFill="1" applyBorder="1" applyAlignment="1" applyProtection="1" quotePrefix="1">
      <alignment horizontal="left"/>
      <protection/>
    </xf>
    <xf numFmtId="195" fontId="164" fillId="35" borderId="59" xfId="0" applyNumberFormat="1" applyFont="1" applyFill="1" applyBorder="1" applyAlignment="1" applyProtection="1" quotePrefix="1">
      <alignment/>
      <protection/>
    </xf>
    <xf numFmtId="195" fontId="165" fillId="35" borderId="59" xfId="0" applyNumberFormat="1" applyFont="1" applyFill="1" applyBorder="1" applyAlignment="1" applyProtection="1" quotePrefix="1">
      <alignment/>
      <protection/>
    </xf>
    <xf numFmtId="195" fontId="165" fillId="35" borderId="81" xfId="0" applyNumberFormat="1" applyFont="1" applyFill="1" applyBorder="1" applyAlignment="1" applyProtection="1" quotePrefix="1">
      <alignment/>
      <protection/>
    </xf>
    <xf numFmtId="0" fontId="166" fillId="42" borderId="18" xfId="66" applyFont="1" applyFill="1" applyBorder="1" applyAlignment="1">
      <alignment horizontal="left" vertical="center"/>
      <protection/>
    </xf>
    <xf numFmtId="0" fontId="37" fillId="35" borderId="133" xfId="0" applyFont="1" applyFill="1" applyBorder="1" applyAlignment="1" applyProtection="1" quotePrefix="1">
      <alignment horizontal="left"/>
      <protection/>
    </xf>
    <xf numFmtId="195" fontId="164" fillId="35" borderId="133" xfId="0" applyNumberFormat="1" applyFont="1" applyFill="1" applyBorder="1" applyAlignment="1" applyProtection="1" quotePrefix="1">
      <alignment/>
      <protection/>
    </xf>
    <xf numFmtId="195" fontId="165" fillId="35" borderId="133" xfId="0" applyNumberFormat="1" applyFont="1" applyFill="1" applyBorder="1" applyAlignment="1" applyProtection="1" quotePrefix="1">
      <alignment/>
      <protection/>
    </xf>
    <xf numFmtId="0" fontId="40" fillId="35" borderId="0" xfId="0" applyFont="1" applyFill="1" applyAlignment="1" applyProtection="1">
      <alignment horizontal="right" vertical="center"/>
      <protection/>
    </xf>
    <xf numFmtId="196" fontId="161" fillId="35" borderId="151" xfId="62" applyNumberFormat="1" applyFont="1" applyFill="1" applyBorder="1" applyProtection="1">
      <alignment/>
      <protection/>
    </xf>
    <xf numFmtId="196" fontId="161" fillId="35" borderId="151" xfId="62" applyNumberFormat="1" applyFont="1" applyFill="1" applyBorder="1" applyAlignment="1" applyProtection="1">
      <alignment horizontal="center"/>
      <protection/>
    </xf>
    <xf numFmtId="196" fontId="162" fillId="35" borderId="151" xfId="62" applyNumberFormat="1" applyFont="1" applyFill="1" applyBorder="1" applyAlignment="1" applyProtection="1">
      <alignment horizontal="center"/>
      <protection/>
    </xf>
    <xf numFmtId="1" fontId="40" fillId="35" borderId="77" xfId="0" applyNumberFormat="1" applyFont="1" applyFill="1" applyBorder="1" applyAlignment="1" applyProtection="1">
      <alignment/>
      <protection/>
    </xf>
    <xf numFmtId="0" fontId="93" fillId="42" borderId="23" xfId="58" applyFont="1" applyFill="1" applyBorder="1" applyAlignment="1" applyProtection="1">
      <alignment horizontal="center" vertical="center"/>
      <protection locked="0"/>
    </xf>
    <xf numFmtId="3" fontId="139" fillId="42" borderId="23" xfId="58" applyNumberFormat="1" applyFont="1" applyFill="1" applyBorder="1" applyAlignment="1" applyProtection="1">
      <alignment horizontal="center" vertical="center"/>
      <protection locked="0"/>
    </xf>
    <xf numFmtId="0" fontId="98" fillId="35" borderId="0" xfId="0" applyFont="1" applyFill="1" applyBorder="1" applyAlignment="1" applyProtection="1">
      <alignment horizontal="right"/>
      <protection/>
    </xf>
    <xf numFmtId="1" fontId="98" fillId="35" borderId="0" xfId="0" applyNumberFormat="1" applyFont="1" applyFill="1" applyBorder="1" applyAlignment="1" applyProtection="1">
      <alignment horizontal="right"/>
      <protection/>
    </xf>
    <xf numFmtId="0" fontId="6" fillId="35" borderId="0" xfId="58" applyFont="1" applyFill="1" applyBorder="1" applyAlignment="1" applyProtection="1">
      <alignment horizontal="left" vertical="center"/>
      <protection/>
    </xf>
    <xf numFmtId="0" fontId="6" fillId="35" borderId="0" xfId="58" applyFont="1" applyFill="1" applyBorder="1" applyAlignment="1" applyProtection="1">
      <alignment horizontal="right" vertical="center"/>
      <protection/>
    </xf>
    <xf numFmtId="3" fontId="93" fillId="42" borderId="23" xfId="58" applyNumberFormat="1" applyFont="1" applyFill="1" applyBorder="1" applyAlignment="1" applyProtection="1">
      <alignment horizontal="center" vertical="center"/>
      <protection locked="0"/>
    </xf>
    <xf numFmtId="0" fontId="6" fillId="35" borderId="0" xfId="58" applyFont="1" applyFill="1" applyBorder="1" applyAlignment="1" applyProtection="1">
      <alignment vertical="center"/>
      <protection/>
    </xf>
    <xf numFmtId="184" fontId="6" fillId="35" borderId="0" xfId="58" applyNumberFormat="1" applyFont="1" applyFill="1" applyBorder="1" applyAlignment="1" applyProtection="1">
      <alignment vertical="center"/>
      <protection/>
    </xf>
    <xf numFmtId="0" fontId="6" fillId="0" borderId="0" xfId="58" applyFont="1" applyAlignment="1" applyProtection="1">
      <alignment vertical="center"/>
      <protection/>
    </xf>
    <xf numFmtId="0" fontId="6" fillId="35" borderId="0" xfId="58" applyFont="1" applyFill="1" applyAlignment="1" applyProtection="1">
      <alignment vertical="center" wrapText="1"/>
      <protection/>
    </xf>
    <xf numFmtId="3" fontId="6" fillId="0" borderId="0" xfId="58" applyNumberFormat="1" applyFont="1" applyBorder="1" applyAlignment="1" applyProtection="1">
      <alignment horizontal="right" vertical="center"/>
      <protection/>
    </xf>
    <xf numFmtId="0" fontId="6" fillId="35" borderId="77" xfId="58" applyFont="1" applyFill="1" applyBorder="1" applyAlignment="1" applyProtection="1">
      <alignment horizontal="center" vertical="center"/>
      <protection/>
    </xf>
    <xf numFmtId="0" fontId="7" fillId="35" borderId="77" xfId="58" applyFont="1" applyFill="1" applyBorder="1" applyAlignment="1" applyProtection="1">
      <alignment vertical="center"/>
      <protection/>
    </xf>
    <xf numFmtId="0" fontId="6" fillId="35" borderId="152" xfId="58" applyFont="1" applyFill="1" applyBorder="1" applyAlignment="1" applyProtection="1">
      <alignment vertical="center"/>
      <protection/>
    </xf>
    <xf numFmtId="0" fontId="12" fillId="0" borderId="0" xfId="58" applyFont="1" applyAlignment="1" applyProtection="1">
      <alignment horizontal="right" vertical="center"/>
      <protection/>
    </xf>
    <xf numFmtId="0" fontId="12" fillId="35" borderId="0" xfId="58" applyFont="1" applyFill="1" applyBorder="1" applyAlignment="1" applyProtection="1">
      <alignment vertical="center"/>
      <protection/>
    </xf>
    <xf numFmtId="0" fontId="12" fillId="35" borderId="153" xfId="58" applyFont="1" applyFill="1" applyBorder="1" applyAlignment="1" applyProtection="1">
      <alignment horizontal="right" vertical="center"/>
      <protection/>
    </xf>
    <xf numFmtId="0" fontId="48" fillId="35" borderId="0" xfId="0" applyFont="1" applyFill="1" applyBorder="1" applyAlignment="1" applyProtection="1">
      <alignment horizontal="center"/>
      <protection/>
    </xf>
    <xf numFmtId="0" fontId="48" fillId="35" borderId="0" xfId="0" applyFont="1" applyFill="1" applyAlignment="1" applyProtection="1">
      <alignment horizontal="center"/>
      <protection/>
    </xf>
    <xf numFmtId="0" fontId="40" fillId="35" borderId="33" xfId="0" applyFont="1" applyFill="1" applyBorder="1" applyAlignment="1" applyProtection="1" quotePrefix="1">
      <alignment horizontal="center"/>
      <protection/>
    </xf>
    <xf numFmtId="0" fontId="48" fillId="35" borderId="78" xfId="0" applyFont="1" applyFill="1" applyBorder="1" applyAlignment="1" applyProtection="1" quotePrefix="1">
      <alignment horizontal="center"/>
      <protection/>
    </xf>
    <xf numFmtId="0" fontId="48" fillId="35" borderId="23" xfId="0" applyFont="1" applyFill="1" applyBorder="1" applyAlignment="1" applyProtection="1" quotePrefix="1">
      <alignment horizontal="center"/>
      <protection/>
    </xf>
    <xf numFmtId="0" fontId="48" fillId="35" borderId="21" xfId="0" applyFont="1" applyFill="1" applyBorder="1" applyAlignment="1" applyProtection="1" quotePrefix="1">
      <alignment horizontal="center"/>
      <protection/>
    </xf>
    <xf numFmtId="0" fontId="14" fillId="35" borderId="0" xfId="58" applyFont="1" applyFill="1" applyAlignment="1">
      <alignment horizontal="right" vertical="center"/>
      <protection/>
    </xf>
    <xf numFmtId="0" fontId="20" fillId="42" borderId="42" xfId="58" applyFont="1" applyFill="1" applyBorder="1" applyAlignment="1">
      <alignment horizontal="left"/>
      <protection/>
    </xf>
    <xf numFmtId="0" fontId="112" fillId="35" borderId="0" xfId="58" applyFont="1" applyFill="1" applyAlignment="1">
      <alignment horizontal="left" vertical="center"/>
      <protection/>
    </xf>
    <xf numFmtId="0" fontId="14" fillId="35" borderId="0" xfId="58" applyFont="1" applyFill="1" applyAlignment="1">
      <alignment horizontal="right" vertical="center" wrapText="1"/>
      <protection/>
    </xf>
    <xf numFmtId="0" fontId="6" fillId="0" borderId="0" xfId="58" applyFont="1" applyAlignment="1" applyProtection="1">
      <alignment vertical="center" wrapText="1"/>
      <protection/>
    </xf>
    <xf numFmtId="0" fontId="6" fillId="0" borderId="0" xfId="58" applyFont="1" applyBorder="1" applyAlignment="1" applyProtection="1">
      <alignment vertical="center"/>
      <protection/>
    </xf>
    <xf numFmtId="0" fontId="6" fillId="0" borderId="0" xfId="58" applyFont="1" applyBorder="1" applyAlignment="1" applyProtection="1">
      <alignment vertical="center" wrapText="1"/>
      <protection/>
    </xf>
    <xf numFmtId="3" fontId="9" fillId="0" borderId="0" xfId="58" applyNumberFormat="1" applyFont="1" applyFill="1" applyAlignment="1" applyProtection="1">
      <alignment horizontal="right" vertical="center"/>
      <protection/>
    </xf>
    <xf numFmtId="3" fontId="6" fillId="0" borderId="0" xfId="58" applyNumberFormat="1" applyFont="1" applyFill="1" applyAlignment="1" applyProtection="1">
      <alignment horizontal="right" vertical="center"/>
      <protection/>
    </xf>
    <xf numFmtId="0" fontId="6" fillId="35" borderId="0" xfId="58" applyFont="1" applyFill="1" applyBorder="1" applyAlignment="1" applyProtection="1">
      <alignment vertical="center" wrapText="1"/>
      <protection/>
    </xf>
    <xf numFmtId="0" fontId="14" fillId="35" borderId="0" xfId="58" applyFont="1" applyFill="1" applyAlignment="1" applyProtection="1">
      <alignment horizontal="left" vertical="center"/>
      <protection/>
    </xf>
    <xf numFmtId="3" fontId="94" fillId="37" borderId="34" xfId="58" applyNumberFormat="1" applyFont="1" applyFill="1" applyBorder="1" applyAlignment="1" applyProtection="1">
      <alignment horizontal="left" vertical="center"/>
      <protection/>
    </xf>
    <xf numFmtId="3" fontId="6" fillId="37" borderId="59" xfId="58" applyNumberFormat="1" applyFont="1" applyFill="1" applyBorder="1" applyAlignment="1" applyProtection="1">
      <alignment horizontal="right" vertical="center"/>
      <protection/>
    </xf>
    <xf numFmtId="3" fontId="6" fillId="37" borderId="60" xfId="58" applyNumberFormat="1" applyFont="1" applyFill="1" applyBorder="1" applyAlignment="1" applyProtection="1">
      <alignment horizontal="right" vertical="center"/>
      <protection/>
    </xf>
    <xf numFmtId="185" fontId="160" fillId="42" borderId="60" xfId="58" applyNumberFormat="1" applyFont="1" applyFill="1" applyBorder="1" applyAlignment="1" applyProtection="1">
      <alignment horizontal="center" vertical="center"/>
      <protection/>
    </xf>
    <xf numFmtId="0" fontId="6" fillId="35" borderId="0" xfId="58" applyFont="1" applyFill="1" applyAlignment="1" applyProtection="1" quotePrefix="1">
      <alignment vertical="center"/>
      <protection/>
    </xf>
    <xf numFmtId="0" fontId="6" fillId="35" borderId="0" xfId="58" applyFont="1" applyFill="1" applyAlignment="1" applyProtection="1">
      <alignment horizontal="center" vertical="center"/>
      <protection/>
    </xf>
    <xf numFmtId="0" fontId="14" fillId="0" borderId="0" xfId="58" applyFont="1" applyAlignment="1" applyProtection="1">
      <alignment horizontal="center" vertical="center"/>
      <protection/>
    </xf>
    <xf numFmtId="0" fontId="14" fillId="35" borderId="0" xfId="0" applyFont="1" applyFill="1" applyAlignment="1" applyProtection="1">
      <alignment horizontal="right" vertical="center"/>
      <protection/>
    </xf>
    <xf numFmtId="0" fontId="14" fillId="35" borderId="0" xfId="58" applyFont="1" applyFill="1" applyAlignment="1" applyProtection="1" quotePrefix="1">
      <alignment vertical="center"/>
      <protection/>
    </xf>
    <xf numFmtId="3" fontId="9" fillId="35" borderId="0" xfId="58" applyNumberFormat="1" applyFont="1" applyFill="1" applyAlignment="1" applyProtection="1" quotePrefix="1">
      <alignment horizontal="right" vertical="center"/>
      <protection/>
    </xf>
    <xf numFmtId="3" fontId="9" fillId="35" borderId="0" xfId="58" applyNumberFormat="1" applyFont="1" applyFill="1" applyAlignment="1" applyProtection="1">
      <alignment horizontal="right" vertical="center"/>
      <protection/>
    </xf>
    <xf numFmtId="0" fontId="9" fillId="0" borderId="0" xfId="66"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167" fillId="42" borderId="23" xfId="0" applyNumberFormat="1" applyFont="1" applyFill="1" applyBorder="1" applyAlignment="1" applyProtection="1">
      <alignment horizontal="center" vertical="center"/>
      <protection/>
    </xf>
    <xf numFmtId="3" fontId="6" fillId="0" borderId="0" xfId="58" applyNumberFormat="1" applyFont="1" applyFill="1" applyBorder="1" applyAlignment="1" applyProtection="1">
      <alignment horizontal="right" vertical="center"/>
      <protection/>
    </xf>
    <xf numFmtId="0" fontId="9" fillId="35" borderId="0" xfId="58" applyFont="1" applyFill="1" applyAlignment="1" applyProtection="1" quotePrefix="1">
      <alignment horizontal="right" vertical="center"/>
      <protection/>
    </xf>
    <xf numFmtId="0" fontId="6" fillId="35" borderId="0" xfId="58" applyFont="1" applyFill="1" applyAlignment="1" applyProtection="1" quotePrefix="1">
      <alignment horizontal="right" vertical="center"/>
      <protection/>
    </xf>
    <xf numFmtId="0" fontId="14" fillId="35" borderId="0" xfId="58" applyFont="1" applyFill="1" applyAlignment="1" applyProtection="1" quotePrefix="1">
      <alignment horizontal="right" vertical="center"/>
      <protection/>
    </xf>
    <xf numFmtId="0" fontId="99" fillId="37" borderId="71" xfId="58" applyFont="1" applyFill="1" applyBorder="1" applyAlignment="1" applyProtection="1">
      <alignment vertical="center"/>
      <protection/>
    </xf>
    <xf numFmtId="0" fontId="99" fillId="37" borderId="72" xfId="58" applyFont="1" applyFill="1" applyBorder="1" applyAlignment="1" applyProtection="1">
      <alignment horizontal="center" vertical="center"/>
      <protection/>
    </xf>
    <xf numFmtId="0" fontId="63" fillId="37" borderId="73" xfId="58" applyFont="1" applyFill="1" applyBorder="1" applyAlignment="1" applyProtection="1">
      <alignment horizontal="center" vertical="center" wrapText="1"/>
      <protection/>
    </xf>
    <xf numFmtId="0" fontId="155" fillId="45" borderId="16" xfId="58" applyFont="1" applyFill="1" applyBorder="1" applyAlignment="1" applyProtection="1">
      <alignment horizontal="center" vertical="center"/>
      <protection/>
    </xf>
    <xf numFmtId="0" fontId="168" fillId="45" borderId="72" xfId="0" applyFont="1" applyFill="1" applyBorder="1" applyAlignment="1" applyProtection="1">
      <alignment horizontal="center" vertical="center"/>
      <protection/>
    </xf>
    <xf numFmtId="0" fontId="169" fillId="45" borderId="72" xfId="58" applyFont="1" applyFill="1" applyBorder="1" applyAlignment="1" applyProtection="1">
      <alignment horizontal="center" vertical="center"/>
      <protection/>
    </xf>
    <xf numFmtId="0" fontId="99" fillId="45" borderId="73" xfId="58" applyFont="1" applyFill="1" applyBorder="1" applyAlignment="1" applyProtection="1">
      <alignment horizontal="center" vertical="center"/>
      <protection/>
    </xf>
    <xf numFmtId="0" fontId="108" fillId="45" borderId="50" xfId="58" applyFont="1" applyFill="1" applyBorder="1" applyAlignment="1" applyProtection="1">
      <alignment horizontal="center" vertical="center"/>
      <protection/>
    </xf>
    <xf numFmtId="0" fontId="108" fillId="45" borderId="75" xfId="58" applyFont="1" applyFill="1" applyBorder="1" applyAlignment="1" applyProtection="1">
      <alignment horizontal="center" vertical="center"/>
      <protection/>
    </xf>
    <xf numFmtId="0" fontId="12" fillId="0" borderId="82" xfId="66" applyFont="1" applyFill="1" applyBorder="1" applyAlignment="1" applyProtection="1">
      <alignment horizontal="center" vertical="center" wrapText="1"/>
      <protection/>
    </xf>
    <xf numFmtId="0" fontId="170" fillId="45" borderId="37" xfId="58" applyFont="1" applyFill="1" applyBorder="1" applyAlignment="1" applyProtection="1">
      <alignment horizontal="center" vertical="center"/>
      <protection/>
    </xf>
    <xf numFmtId="1" fontId="94" fillId="42" borderId="78" xfId="58" applyNumberFormat="1" applyFont="1" applyFill="1" applyBorder="1" applyAlignment="1" applyProtection="1">
      <alignment horizontal="center" vertical="center" wrapText="1"/>
      <protection/>
    </xf>
    <xf numFmtId="1" fontId="94" fillId="42" borderId="60" xfId="58" applyNumberFormat="1" applyFont="1" applyFill="1" applyBorder="1" applyAlignment="1" applyProtection="1">
      <alignment horizontal="center" vertical="center" wrapText="1"/>
      <protection/>
    </xf>
    <xf numFmtId="1" fontId="94" fillId="42" borderId="23" xfId="58" applyNumberFormat="1" applyFont="1" applyFill="1" applyBorder="1" applyAlignment="1" applyProtection="1">
      <alignment horizontal="center" vertical="center" wrapText="1"/>
      <protection/>
    </xf>
    <xf numFmtId="1" fontId="94" fillId="42" borderId="21" xfId="58" applyNumberFormat="1" applyFont="1" applyFill="1" applyBorder="1" applyAlignment="1" applyProtection="1">
      <alignment horizontal="center" vertical="center" wrapText="1"/>
      <protection/>
    </xf>
    <xf numFmtId="0" fontId="6" fillId="35" borderId="132" xfId="58" applyFont="1" applyFill="1" applyBorder="1" applyAlignment="1" applyProtection="1">
      <alignment horizontal="left" vertical="center"/>
      <protection/>
    </xf>
    <xf numFmtId="0" fontId="6" fillId="35" borderId="0" xfId="58" applyFont="1" applyFill="1" applyBorder="1" applyAlignment="1" applyProtection="1">
      <alignment horizontal="center" vertical="center"/>
      <protection/>
    </xf>
    <xf numFmtId="0" fontId="99" fillId="35" borderId="76" xfId="58" applyFont="1" applyFill="1" applyBorder="1" applyAlignment="1" applyProtection="1">
      <alignment horizontal="left" vertical="center" wrapText="1"/>
      <protection/>
    </xf>
    <xf numFmtId="0" fontId="6" fillId="35" borderId="89" xfId="58" applyFont="1" applyFill="1" applyBorder="1" applyAlignment="1" applyProtection="1">
      <alignment horizontal="center" vertical="center"/>
      <protection/>
    </xf>
    <xf numFmtId="3" fontId="6" fillId="35" borderId="101" xfId="58" applyNumberFormat="1" applyFont="1" applyFill="1" applyBorder="1" applyAlignment="1" applyProtection="1">
      <alignment horizontal="right" vertical="center"/>
      <protection/>
    </xf>
    <xf numFmtId="0" fontId="6" fillId="35" borderId="17" xfId="58" applyFont="1" applyFill="1" applyBorder="1" applyAlignment="1" applyProtection="1">
      <alignment vertical="center"/>
      <protection/>
    </xf>
    <xf numFmtId="3" fontId="6" fillId="35" borderId="89" xfId="58" applyNumberFormat="1" applyFont="1" applyFill="1" applyBorder="1" applyAlignment="1" applyProtection="1">
      <alignment horizontal="right" vertical="center"/>
      <protection/>
    </xf>
    <xf numFmtId="0" fontId="9" fillId="35" borderId="89" xfId="58" applyFont="1" applyFill="1" applyBorder="1" applyAlignment="1" applyProtection="1">
      <alignment vertical="center"/>
      <protection/>
    </xf>
    <xf numFmtId="0" fontId="6" fillId="35" borderId="74" xfId="58" applyFont="1" applyFill="1" applyBorder="1" applyAlignment="1" applyProtection="1" quotePrefix="1">
      <alignment horizontal="center" vertical="center"/>
      <protection/>
    </xf>
    <xf numFmtId="0" fontId="6" fillId="35" borderId="75" xfId="58" applyFont="1" applyFill="1" applyBorder="1" applyAlignment="1" applyProtection="1">
      <alignment horizontal="center" vertical="center"/>
      <protection/>
    </xf>
    <xf numFmtId="0" fontId="6" fillId="0" borderId="76" xfId="58" applyFont="1" applyBorder="1" applyAlignment="1" applyProtection="1" quotePrefix="1">
      <alignment horizontal="center" vertical="center" wrapText="1"/>
      <protection/>
    </xf>
    <xf numFmtId="3" fontId="6" fillId="35" borderId="74" xfId="58" applyNumberFormat="1" applyFont="1" applyFill="1" applyBorder="1" applyAlignment="1" applyProtection="1">
      <alignment horizontal="right" vertical="center"/>
      <protection/>
    </xf>
    <xf numFmtId="187" fontId="94" fillId="42" borderId="45" xfId="66" applyNumberFormat="1" applyFont="1" applyFill="1" applyBorder="1" applyAlignment="1" applyProtection="1" quotePrefix="1">
      <alignment horizontal="right" vertical="center"/>
      <protection/>
    </xf>
    <xf numFmtId="0" fontId="6" fillId="35" borderId="17" xfId="66" applyFont="1" applyFill="1" applyBorder="1" applyAlignment="1" applyProtection="1">
      <alignment horizontal="right" vertical="center"/>
      <protection/>
    </xf>
    <xf numFmtId="187" fontId="12" fillId="35" borderId="51" xfId="66" applyNumberFormat="1" applyFont="1" applyFill="1" applyBorder="1" applyAlignment="1" applyProtection="1" quotePrefix="1">
      <alignment horizontal="right" vertical="center"/>
      <protection/>
    </xf>
    <xf numFmtId="0" fontId="6" fillId="35" borderId="52" xfId="66" applyFont="1" applyFill="1" applyBorder="1" applyAlignment="1" applyProtection="1">
      <alignment horizontal="left" vertical="center" wrapText="1"/>
      <protection/>
    </xf>
    <xf numFmtId="187" fontId="12" fillId="35" borderId="56" xfId="66" applyNumberFormat="1" applyFont="1" applyFill="1" applyBorder="1" applyAlignment="1" applyProtection="1" quotePrefix="1">
      <alignment horizontal="right" vertical="center"/>
      <protection/>
    </xf>
    <xf numFmtId="0" fontId="6" fillId="35" borderId="61" xfId="66" applyFont="1" applyFill="1" applyBorder="1" applyAlignment="1" applyProtection="1">
      <alignment horizontal="left" vertical="center" wrapText="1"/>
      <protection/>
    </xf>
    <xf numFmtId="187" fontId="9" fillId="35" borderId="17" xfId="66" applyNumberFormat="1" applyFont="1" applyFill="1" applyBorder="1" applyAlignment="1" applyProtection="1" quotePrefix="1">
      <alignment horizontal="right" vertical="center"/>
      <protection/>
    </xf>
    <xf numFmtId="0" fontId="9" fillId="35" borderId="17" xfId="66" applyFont="1" applyFill="1" applyBorder="1" applyAlignment="1" applyProtection="1" quotePrefix="1">
      <alignment horizontal="right" vertical="center"/>
      <protection/>
    </xf>
    <xf numFmtId="187" fontId="12" fillId="35" borderId="53" xfId="66" applyNumberFormat="1" applyFont="1" applyFill="1" applyBorder="1" applyAlignment="1" applyProtection="1" quotePrefix="1">
      <alignment horizontal="right" vertical="center"/>
      <protection/>
    </xf>
    <xf numFmtId="0" fontId="6" fillId="35" borderId="54" xfId="66" applyFont="1" applyFill="1" applyBorder="1" applyAlignment="1" applyProtection="1">
      <alignment vertical="center" wrapText="1"/>
      <protection/>
    </xf>
    <xf numFmtId="0" fontId="9" fillId="35" borderId="17" xfId="66" applyFont="1" applyFill="1" applyBorder="1" applyAlignment="1" applyProtection="1">
      <alignment horizontal="right" vertical="center"/>
      <protection/>
    </xf>
    <xf numFmtId="0" fontId="11" fillId="35" borderId="54" xfId="66" applyFont="1" applyFill="1" applyBorder="1" applyAlignment="1" applyProtection="1">
      <alignment horizontal="left" vertical="center" wrapText="1"/>
      <protection/>
    </xf>
    <xf numFmtId="0" fontId="11" fillId="35" borderId="61" xfId="66" applyFont="1" applyFill="1" applyBorder="1" applyAlignment="1" applyProtection="1">
      <alignment vertical="center" wrapText="1"/>
      <protection/>
    </xf>
    <xf numFmtId="187" fontId="16" fillId="35" borderId="51" xfId="66" applyNumberFormat="1" applyFont="1" applyFill="1" applyBorder="1" applyAlignment="1" applyProtection="1" quotePrefix="1">
      <alignment horizontal="right"/>
      <protection/>
    </xf>
    <xf numFmtId="0" fontId="6" fillId="35" borderId="52" xfId="66" applyFont="1" applyFill="1" applyBorder="1" applyAlignment="1" applyProtection="1">
      <alignment wrapText="1"/>
      <protection/>
    </xf>
    <xf numFmtId="187" fontId="16" fillId="35" borderId="53" xfId="66" applyNumberFormat="1" applyFont="1" applyFill="1" applyBorder="1" applyAlignment="1" applyProtection="1" quotePrefix="1">
      <alignment horizontal="right"/>
      <protection/>
    </xf>
    <xf numFmtId="0" fontId="6" fillId="35" borderId="54" xfId="66" applyFont="1" applyFill="1" applyBorder="1" applyAlignment="1" applyProtection="1">
      <alignment wrapText="1"/>
      <protection/>
    </xf>
    <xf numFmtId="187" fontId="9" fillId="35" borderId="89" xfId="66" applyNumberFormat="1" applyFont="1" applyFill="1" applyBorder="1" applyAlignment="1" applyProtection="1" quotePrefix="1">
      <alignment horizontal="right" vertical="center"/>
      <protection/>
    </xf>
    <xf numFmtId="0" fontId="17" fillId="35" borderId="54" xfId="66" applyFont="1" applyFill="1" applyBorder="1" applyAlignment="1" applyProtection="1">
      <alignment wrapText="1"/>
      <protection/>
    </xf>
    <xf numFmtId="187" fontId="16" fillId="35" borderId="56" xfId="66" applyNumberFormat="1" applyFont="1" applyFill="1" applyBorder="1" applyAlignment="1" applyProtection="1" quotePrefix="1">
      <alignment horizontal="right" vertical="center"/>
      <protection/>
    </xf>
    <xf numFmtId="0" fontId="6" fillId="35" borderId="61" xfId="66" applyFont="1" applyFill="1" applyBorder="1" applyAlignment="1" applyProtection="1">
      <alignment wrapText="1"/>
      <protection/>
    </xf>
    <xf numFmtId="0" fontId="6" fillId="35" borderId="52" xfId="66" applyFont="1" applyFill="1" applyBorder="1" applyAlignment="1" applyProtection="1">
      <alignment vertical="center" wrapText="1"/>
      <protection/>
    </xf>
    <xf numFmtId="187" fontId="12" fillId="35" borderId="57" xfId="66" applyNumberFormat="1" applyFont="1" applyFill="1" applyBorder="1" applyAlignment="1" applyProtection="1" quotePrefix="1">
      <alignment horizontal="right" vertical="center"/>
      <protection/>
    </xf>
    <xf numFmtId="0" fontId="6" fillId="35" borderId="64" xfId="66" applyFont="1" applyFill="1" applyBorder="1" applyAlignment="1" applyProtection="1">
      <alignment vertical="center" wrapText="1"/>
      <protection/>
    </xf>
    <xf numFmtId="187" fontId="12" fillId="35" borderId="83" xfId="66" applyNumberFormat="1" applyFont="1" applyFill="1" applyBorder="1" applyAlignment="1" applyProtection="1" quotePrefix="1">
      <alignment horizontal="right" vertical="center"/>
      <protection/>
    </xf>
    <xf numFmtId="0" fontId="6" fillId="35" borderId="84" xfId="66" applyFont="1" applyFill="1" applyBorder="1" applyAlignment="1" applyProtection="1">
      <alignment horizontal="left" vertical="center" wrapText="1"/>
      <protection/>
    </xf>
    <xf numFmtId="187" fontId="12" fillId="35" borderId="85" xfId="66" applyNumberFormat="1" applyFont="1" applyFill="1" applyBorder="1" applyAlignment="1" applyProtection="1" quotePrefix="1">
      <alignment horizontal="right" vertical="center"/>
      <protection/>
    </xf>
    <xf numFmtId="0" fontId="6" fillId="35" borderId="86" xfId="66" applyFont="1" applyFill="1" applyBorder="1" applyAlignment="1" applyProtection="1">
      <alignment vertical="center" wrapText="1"/>
      <protection/>
    </xf>
    <xf numFmtId="0" fontId="6" fillId="35" borderId="84" xfId="66" applyFont="1" applyFill="1" applyBorder="1" applyAlignment="1" applyProtection="1">
      <alignment vertical="center" wrapText="1"/>
      <protection/>
    </xf>
    <xf numFmtId="0" fontId="11" fillId="35" borderId="86" xfId="66" applyFont="1" applyFill="1" applyBorder="1" applyAlignment="1" applyProtection="1">
      <alignment horizontal="left" vertical="center" wrapText="1"/>
      <protection/>
    </xf>
    <xf numFmtId="187" fontId="12" fillId="35" borderId="67" xfId="66" applyNumberFormat="1" applyFont="1" applyFill="1" applyBorder="1" applyAlignment="1" applyProtection="1" quotePrefix="1">
      <alignment horizontal="right" vertical="center"/>
      <protection/>
    </xf>
    <xf numFmtId="0" fontId="11" fillId="35" borderId="68" xfId="66" applyFont="1" applyFill="1" applyBorder="1" applyAlignment="1" applyProtection="1">
      <alignment horizontal="left" vertical="center" wrapText="1"/>
      <protection/>
    </xf>
    <xf numFmtId="0" fontId="6" fillId="35" borderId="61" xfId="66" applyFont="1" applyFill="1" applyBorder="1" applyAlignment="1" applyProtection="1">
      <alignment vertical="center" wrapText="1"/>
      <protection/>
    </xf>
    <xf numFmtId="0" fontId="11" fillId="35" borderId="52" xfId="66" applyFont="1" applyFill="1" applyBorder="1" applyAlignment="1" applyProtection="1">
      <alignment horizontal="left" vertical="center" wrapText="1"/>
      <protection/>
    </xf>
    <xf numFmtId="0" fontId="9" fillId="35" borderId="17" xfId="66" applyFont="1" applyFill="1" applyBorder="1" applyAlignment="1" applyProtection="1" quotePrefix="1">
      <alignment horizontal="center" vertical="center"/>
      <protection/>
    </xf>
    <xf numFmtId="0" fontId="11" fillId="35" borderId="54" xfId="66" applyFont="1" applyFill="1" applyBorder="1" applyAlignment="1" applyProtection="1">
      <alignment horizontal="left" vertical="center" wrapText="1"/>
      <protection/>
    </xf>
    <xf numFmtId="0" fontId="11" fillId="35" borderId="61" xfId="66" applyFont="1" applyFill="1" applyBorder="1" applyAlignment="1" applyProtection="1">
      <alignment horizontal="left" vertical="center" wrapText="1"/>
      <protection/>
    </xf>
    <xf numFmtId="0" fontId="11" fillId="35" borderId="52" xfId="66" applyFont="1" applyFill="1" applyBorder="1" applyAlignment="1" applyProtection="1">
      <alignment horizontal="left" vertical="center" wrapText="1"/>
      <protection/>
    </xf>
    <xf numFmtId="0" fontId="11" fillId="35" borderId="61" xfId="66" applyFont="1" applyFill="1" applyBorder="1" applyAlignment="1" applyProtection="1">
      <alignment horizontal="left" vertical="center" wrapText="1"/>
      <protection/>
    </xf>
    <xf numFmtId="0" fontId="9" fillId="35" borderId="17" xfId="66" applyFont="1" applyFill="1" applyBorder="1" applyAlignment="1" applyProtection="1">
      <alignment horizontal="center" vertical="center"/>
      <protection/>
    </xf>
    <xf numFmtId="0" fontId="11" fillId="35" borderId="52" xfId="58" applyFont="1" applyFill="1" applyBorder="1" applyAlignment="1" applyProtection="1">
      <alignment vertical="center" wrapText="1"/>
      <protection/>
    </xf>
    <xf numFmtId="0" fontId="11" fillId="35" borderId="86" xfId="58" applyFont="1" applyFill="1" applyBorder="1" applyAlignment="1" applyProtection="1">
      <alignment vertical="center" wrapText="1"/>
      <protection/>
    </xf>
    <xf numFmtId="187" fontId="12" fillId="35" borderId="66" xfId="66" applyNumberFormat="1" applyFont="1" applyFill="1" applyBorder="1" applyAlignment="1" applyProtection="1" quotePrefix="1">
      <alignment horizontal="right" vertical="center"/>
      <protection/>
    </xf>
    <xf numFmtId="0" fontId="11" fillId="35" borderId="0" xfId="58" applyFont="1" applyFill="1" applyBorder="1" applyAlignment="1" applyProtection="1">
      <alignment vertical="center" wrapText="1"/>
      <protection/>
    </xf>
    <xf numFmtId="0" fontId="11" fillId="35" borderId="68" xfId="58" applyFont="1" applyFill="1" applyBorder="1" applyAlignment="1" applyProtection="1">
      <alignment vertical="center" wrapText="1"/>
      <protection/>
    </xf>
    <xf numFmtId="0" fontId="11" fillId="35" borderId="84" xfId="58" applyFont="1" applyFill="1" applyBorder="1" applyAlignment="1" applyProtection="1">
      <alignment vertical="center" wrapText="1"/>
      <protection/>
    </xf>
    <xf numFmtId="0" fontId="11" fillId="35" borderId="65" xfId="66" applyFont="1" applyFill="1" applyBorder="1" applyAlignment="1" applyProtection="1">
      <alignment horizontal="left" vertical="center" wrapText="1"/>
      <protection/>
    </xf>
    <xf numFmtId="0" fontId="94" fillId="42" borderId="59" xfId="58" applyFont="1" applyFill="1" applyBorder="1" applyAlignment="1" applyProtection="1">
      <alignment vertical="center"/>
      <protection/>
    </xf>
    <xf numFmtId="0" fontId="15" fillId="35" borderId="52" xfId="58" applyFont="1" applyFill="1" applyBorder="1" applyAlignment="1" applyProtection="1">
      <alignment vertical="center" wrapText="1"/>
      <protection/>
    </xf>
    <xf numFmtId="0" fontId="15" fillId="35" borderId="54" xfId="58" applyFont="1" applyFill="1" applyBorder="1" applyAlignment="1" applyProtection="1">
      <alignment vertical="center" wrapText="1"/>
      <protection/>
    </xf>
    <xf numFmtId="0" fontId="15" fillId="35" borderId="61" xfId="58" applyFont="1" applyFill="1" applyBorder="1" applyAlignment="1" applyProtection="1">
      <alignment vertical="center" wrapText="1"/>
      <protection/>
    </xf>
    <xf numFmtId="184" fontId="6" fillId="35" borderId="17" xfId="66" applyNumberFormat="1" applyFont="1" applyFill="1" applyBorder="1" applyAlignment="1" applyProtection="1">
      <alignment horizontal="right" vertical="center"/>
      <protection/>
    </xf>
    <xf numFmtId="0" fontId="6" fillId="35" borderId="54" xfId="66" applyFont="1" applyFill="1" applyBorder="1" applyAlignment="1" applyProtection="1">
      <alignment horizontal="left" vertical="center" wrapText="1"/>
      <protection/>
    </xf>
    <xf numFmtId="0" fontId="11" fillId="35" borderId="52" xfId="66" applyFont="1" applyFill="1" applyBorder="1" applyAlignment="1" applyProtection="1">
      <alignment vertical="center" wrapText="1"/>
      <protection/>
    </xf>
    <xf numFmtId="187" fontId="94" fillId="42" borderId="45" xfId="66" applyNumberFormat="1" applyFont="1" applyFill="1" applyBorder="1" applyAlignment="1" applyProtection="1" quotePrefix="1">
      <alignment horizontal="right"/>
      <protection/>
    </xf>
    <xf numFmtId="184" fontId="6" fillId="35" borderId="17" xfId="66" applyNumberFormat="1" applyFont="1" applyFill="1" applyBorder="1" applyAlignment="1" applyProtection="1">
      <alignment horizontal="right"/>
      <protection/>
    </xf>
    <xf numFmtId="187" fontId="12" fillId="35" borderId="51" xfId="66" applyNumberFormat="1" applyFont="1" applyFill="1" applyBorder="1" applyAlignment="1" applyProtection="1" quotePrefix="1">
      <alignment horizontal="right" vertical="top"/>
      <protection/>
    </xf>
    <xf numFmtId="0" fontId="6" fillId="35" borderId="52" xfId="66" applyFont="1" applyFill="1" applyBorder="1" applyAlignment="1" applyProtection="1">
      <alignment vertical="top" wrapText="1"/>
      <protection/>
    </xf>
    <xf numFmtId="187" fontId="12" fillId="35" borderId="53" xfId="66" applyNumberFormat="1" applyFont="1" applyFill="1" applyBorder="1" applyAlignment="1" applyProtection="1" quotePrefix="1">
      <alignment horizontal="right" vertical="top"/>
      <protection/>
    </xf>
    <xf numFmtId="0" fontId="6" fillId="35" borderId="54" xfId="66" applyFont="1" applyFill="1" applyBorder="1" applyAlignment="1" applyProtection="1">
      <alignment vertical="top" wrapText="1"/>
      <protection/>
    </xf>
    <xf numFmtId="187" fontId="12" fillId="35" borderId="56" xfId="66" applyNumberFormat="1" applyFont="1" applyFill="1" applyBorder="1" applyAlignment="1" applyProtection="1" quotePrefix="1">
      <alignment horizontal="right" vertical="top"/>
      <protection/>
    </xf>
    <xf numFmtId="0" fontId="6" fillId="35" borderId="61" xfId="66" applyFont="1" applyFill="1" applyBorder="1" applyAlignment="1" applyProtection="1">
      <alignment vertical="top" wrapText="1"/>
      <protection/>
    </xf>
    <xf numFmtId="187" fontId="12" fillId="35" borderId="57" xfId="66" applyNumberFormat="1" applyFont="1" applyFill="1" applyBorder="1" applyAlignment="1" applyProtection="1" quotePrefix="1">
      <alignment horizontal="right" vertical="top"/>
      <protection/>
    </xf>
    <xf numFmtId="0" fontId="6" fillId="35" borderId="64" xfId="66" applyFont="1" applyFill="1" applyBorder="1" applyAlignment="1" applyProtection="1">
      <alignment vertical="top" wrapText="1"/>
      <protection/>
    </xf>
    <xf numFmtId="187" fontId="171" fillId="35" borderId="110" xfId="66" applyNumberFormat="1" applyFont="1" applyFill="1" applyBorder="1" applyAlignment="1" applyProtection="1" quotePrefix="1">
      <alignment horizontal="right" vertical="center"/>
      <protection/>
    </xf>
    <xf numFmtId="0" fontId="171" fillId="35" borderId="128" xfId="66" applyFont="1" applyFill="1" applyBorder="1" applyProtection="1">
      <alignment/>
      <protection/>
    </xf>
    <xf numFmtId="184" fontId="6" fillId="35" borderId="50" xfId="66" applyNumberFormat="1" applyFont="1" applyFill="1" applyBorder="1" applyAlignment="1" applyProtection="1">
      <alignment horizontal="right" vertical="center"/>
      <protection/>
    </xf>
    <xf numFmtId="184" fontId="6" fillId="35" borderId="77" xfId="66" applyNumberFormat="1" applyFont="1" applyFill="1" applyBorder="1" applyAlignment="1" applyProtection="1">
      <alignment vertical="center"/>
      <protection/>
    </xf>
    <xf numFmtId="0" fontId="9" fillId="35" borderId="0" xfId="58" applyFont="1" applyFill="1" applyBorder="1" applyAlignment="1" applyProtection="1">
      <alignment vertical="center" wrapText="1"/>
      <protection/>
    </xf>
    <xf numFmtId="189" fontId="9" fillId="42" borderId="45" xfId="66" applyNumberFormat="1" applyFont="1" applyFill="1" applyBorder="1" applyAlignment="1" applyProtection="1">
      <alignment horizontal="right"/>
      <protection/>
    </xf>
    <xf numFmtId="189" fontId="9" fillId="35" borderId="132" xfId="66" applyNumberFormat="1" applyFont="1" applyFill="1" applyBorder="1" applyAlignment="1" applyProtection="1" quotePrefix="1">
      <alignment horizontal="right" vertical="center"/>
      <protection/>
    </xf>
    <xf numFmtId="0" fontId="9" fillId="35" borderId="69" xfId="58" applyFont="1" applyFill="1" applyBorder="1" applyAlignment="1" applyProtection="1">
      <alignment vertical="center"/>
      <protection/>
    </xf>
    <xf numFmtId="0" fontId="9" fillId="35" borderId="69" xfId="58" applyFont="1" applyFill="1" applyBorder="1" applyAlignment="1" applyProtection="1">
      <alignment vertical="center" wrapText="1"/>
      <protection/>
    </xf>
    <xf numFmtId="189" fontId="9" fillId="35" borderId="17" xfId="66" applyNumberFormat="1" applyFont="1" applyFill="1" applyBorder="1" applyAlignment="1" applyProtection="1" quotePrefix="1">
      <alignment horizontal="right" vertical="center"/>
      <protection/>
    </xf>
    <xf numFmtId="189" fontId="9" fillId="35" borderId="50" xfId="66" applyNumberFormat="1" applyFont="1" applyFill="1" applyBorder="1" applyAlignment="1" applyProtection="1" quotePrefix="1">
      <alignment horizontal="right" vertical="center"/>
      <protection/>
    </xf>
    <xf numFmtId="0" fontId="6" fillId="35" borderId="77" xfId="58" applyFont="1" applyFill="1" applyBorder="1" applyAlignment="1" applyProtection="1">
      <alignment vertical="center"/>
      <protection/>
    </xf>
    <xf numFmtId="0" fontId="108" fillId="45" borderId="103" xfId="66" applyFont="1" applyFill="1" applyBorder="1" applyAlignment="1" applyProtection="1">
      <alignment horizontal="right" vertical="center"/>
      <protection/>
    </xf>
    <xf numFmtId="198" fontId="94" fillId="37" borderId="104" xfId="68" applyNumberFormat="1" applyFont="1" applyFill="1" applyBorder="1" applyAlignment="1" applyProtection="1">
      <alignment horizontal="center" vertical="center" wrapText="1"/>
      <protection/>
    </xf>
    <xf numFmtId="0" fontId="9" fillId="35" borderId="0" xfId="66" applyFont="1" applyFill="1" applyBorder="1" applyAlignment="1" applyProtection="1" quotePrefix="1">
      <alignment horizontal="right" vertical="center"/>
      <protection/>
    </xf>
    <xf numFmtId="0" fontId="9" fillId="35" borderId="0" xfId="66" applyFont="1" applyFill="1" applyBorder="1" applyAlignment="1" applyProtection="1">
      <alignment horizontal="center" vertical="center"/>
      <protection/>
    </xf>
    <xf numFmtId="184" fontId="6" fillId="35" borderId="0" xfId="58" applyNumberFormat="1" applyFont="1" applyFill="1" applyBorder="1" applyAlignment="1" applyProtection="1" quotePrefix="1">
      <alignment horizontal="center" vertical="center"/>
      <protection/>
    </xf>
    <xf numFmtId="184" fontId="6" fillId="35" borderId="0" xfId="58" applyNumberFormat="1" applyFont="1" applyFill="1" applyBorder="1" applyAlignment="1" applyProtection="1" quotePrefix="1">
      <alignment horizontal="center" vertical="center" wrapText="1"/>
      <protection/>
    </xf>
    <xf numFmtId="0" fontId="15" fillId="35" borderId="0" xfId="66" applyFont="1" applyFill="1" applyBorder="1" applyAlignment="1" applyProtection="1" quotePrefix="1">
      <alignment horizontal="right" vertical="center"/>
      <protection/>
    </xf>
    <xf numFmtId="0" fontId="14" fillId="35" borderId="0" xfId="0" applyFont="1" applyFill="1" applyAlignment="1" applyProtection="1">
      <alignment horizontal="right" wrapText="1"/>
      <protection/>
    </xf>
    <xf numFmtId="0" fontId="167" fillId="42" borderId="23" xfId="0" applyNumberFormat="1" applyFont="1" applyFill="1" applyBorder="1" applyAlignment="1" applyProtection="1">
      <alignment horizontal="center" vertical="center"/>
      <protection/>
    </xf>
    <xf numFmtId="0" fontId="167" fillId="42" borderId="23" xfId="0" applyNumberFormat="1" applyFont="1" applyFill="1" applyBorder="1" applyAlignment="1" applyProtection="1">
      <alignment horizontal="left" vertical="center"/>
      <protection/>
    </xf>
    <xf numFmtId="0" fontId="14" fillId="35" borderId="0" xfId="58" applyFont="1" applyFill="1" applyAlignment="1" applyProtection="1">
      <alignment horizontal="center" vertical="center" wrapText="1"/>
      <protection/>
    </xf>
    <xf numFmtId="3" fontId="6" fillId="35" borderId="0" xfId="58" applyNumberFormat="1" applyFont="1" applyFill="1" applyAlignment="1" applyProtection="1" quotePrefix="1">
      <alignment horizontal="right" vertical="center"/>
      <protection/>
    </xf>
    <xf numFmtId="0" fontId="94" fillId="42" borderId="154" xfId="58" applyFont="1" applyFill="1" applyBorder="1" applyAlignment="1" applyProtection="1">
      <alignment horizontal="center" vertical="center"/>
      <protection/>
    </xf>
    <xf numFmtId="0" fontId="94" fillId="42" borderId="25" xfId="58" applyFont="1" applyFill="1" applyBorder="1" applyAlignment="1" applyProtection="1">
      <alignment horizontal="center" vertical="center"/>
      <protection/>
    </xf>
    <xf numFmtId="0" fontId="94" fillId="42" borderId="25" xfId="58" applyFont="1" applyFill="1" applyBorder="1" applyAlignment="1" applyProtection="1">
      <alignment horizontal="center" vertical="center" wrapText="1"/>
      <protection/>
    </xf>
    <xf numFmtId="3" fontId="94" fillId="42" borderId="25" xfId="58" applyNumberFormat="1" applyFont="1" applyFill="1" applyBorder="1" applyAlignment="1" applyProtection="1">
      <alignment horizontal="center" vertical="center"/>
      <protection/>
    </xf>
    <xf numFmtId="3" fontId="94" fillId="42" borderId="20" xfId="58" applyNumberFormat="1" applyFont="1" applyFill="1" applyBorder="1" applyAlignment="1" applyProtection="1">
      <alignment horizontal="center" vertical="center"/>
      <protection/>
    </xf>
    <xf numFmtId="0" fontId="14" fillId="35" borderId="78" xfId="58" applyFont="1" applyFill="1" applyBorder="1" applyAlignment="1" applyProtection="1">
      <alignment horizontal="center"/>
      <protection/>
    </xf>
    <xf numFmtId="0" fontId="14" fillId="35" borderId="23" xfId="58" applyFont="1" applyFill="1" applyBorder="1" applyAlignment="1" applyProtection="1">
      <alignment horizontal="center" vertical="top"/>
      <protection/>
    </xf>
    <xf numFmtId="0" fontId="14" fillId="35" borderId="23" xfId="58" applyFont="1" applyFill="1" applyBorder="1" applyAlignment="1" applyProtection="1">
      <alignment vertical="top" wrapText="1"/>
      <protection/>
    </xf>
    <xf numFmtId="0" fontId="6" fillId="35" borderId="101" xfId="58" applyFont="1" applyFill="1" applyBorder="1" applyAlignment="1" applyProtection="1">
      <alignment horizontal="center"/>
      <protection/>
    </xf>
    <xf numFmtId="0" fontId="100" fillId="35" borderId="51" xfId="58" applyFont="1" applyFill="1" applyBorder="1" applyAlignment="1" applyProtection="1">
      <alignment horizontal="center" vertical="top"/>
      <protection/>
    </xf>
    <xf numFmtId="0" fontId="6" fillId="35" borderId="51" xfId="58" applyFont="1" applyFill="1" applyBorder="1" applyAlignment="1" applyProtection="1">
      <alignment vertical="top" wrapText="1"/>
      <protection/>
    </xf>
    <xf numFmtId="0" fontId="6" fillId="35" borderId="89" xfId="58" applyFont="1" applyFill="1" applyBorder="1" applyAlignment="1" applyProtection="1">
      <alignment horizontal="center"/>
      <protection/>
    </xf>
    <xf numFmtId="0" fontId="100" fillId="35" borderId="57" xfId="58" applyFont="1" applyFill="1" applyBorder="1" applyAlignment="1" applyProtection="1">
      <alignment horizontal="center" vertical="top"/>
      <protection/>
    </xf>
    <xf numFmtId="0" fontId="6" fillId="35" borderId="57" xfId="58" applyFont="1" applyFill="1" applyBorder="1" applyAlignment="1" applyProtection="1">
      <alignment vertical="top" wrapText="1"/>
      <protection/>
    </xf>
    <xf numFmtId="0" fontId="6" fillId="35" borderId="74" xfId="58" applyFont="1" applyFill="1" applyBorder="1" applyAlignment="1" applyProtection="1">
      <alignment horizontal="center"/>
      <protection/>
    </xf>
    <xf numFmtId="0" fontId="100" fillId="35" borderId="56" xfId="58" applyFont="1" applyFill="1" applyBorder="1" applyAlignment="1" applyProtection="1">
      <alignment horizontal="center" vertical="top"/>
      <protection/>
    </xf>
    <xf numFmtId="0" fontId="6" fillId="35" borderId="56" xfId="58" applyFont="1" applyFill="1" applyBorder="1" applyAlignment="1" applyProtection="1">
      <alignment vertical="top" wrapText="1"/>
      <protection/>
    </xf>
    <xf numFmtId="0" fontId="100" fillId="35" borderId="125" xfId="58" applyFont="1" applyFill="1" applyBorder="1" applyAlignment="1" applyProtection="1">
      <alignment horizontal="center" vertical="top"/>
      <protection/>
    </xf>
    <xf numFmtId="0" fontId="6" fillId="35" borderId="125" xfId="58" applyFont="1" applyFill="1" applyBorder="1" applyAlignment="1" applyProtection="1">
      <alignment vertical="top" wrapText="1"/>
      <protection/>
    </xf>
    <xf numFmtId="0" fontId="14" fillId="35" borderId="102" xfId="58" applyFont="1" applyFill="1" applyBorder="1" applyAlignment="1" applyProtection="1">
      <alignment horizontal="center"/>
      <protection/>
    </xf>
    <xf numFmtId="0" fontId="14" fillId="35" borderId="103" xfId="58" applyFont="1" applyFill="1" applyBorder="1" applyAlignment="1" applyProtection="1">
      <alignment horizontal="center" vertical="top"/>
      <protection/>
    </xf>
    <xf numFmtId="0" fontId="14" fillId="35" borderId="103" xfId="58" applyFont="1" applyFill="1" applyBorder="1" applyAlignment="1" applyProtection="1">
      <alignment vertical="top" wrapText="1"/>
      <protection/>
    </xf>
    <xf numFmtId="0" fontId="172" fillId="35" borderId="0" xfId="58" applyFont="1" applyFill="1" applyBorder="1" applyProtection="1">
      <alignment/>
      <protection/>
    </xf>
    <xf numFmtId="0" fontId="6" fillId="35" borderId="0" xfId="58" applyFont="1" applyFill="1" applyBorder="1" applyAlignment="1" applyProtection="1">
      <alignment vertical="top"/>
      <protection/>
    </xf>
    <xf numFmtId="0" fontId="6" fillId="35" borderId="0" xfId="58" applyFont="1" applyFill="1" applyBorder="1" applyAlignment="1" applyProtection="1">
      <alignment vertical="top" wrapText="1"/>
      <protection/>
    </xf>
    <xf numFmtId="0" fontId="6" fillId="36" borderId="0" xfId="58" applyFont="1" applyFill="1" applyAlignment="1" applyProtection="1">
      <alignment vertical="center" wrapText="1"/>
      <protection/>
    </xf>
    <xf numFmtId="3" fontId="99" fillId="42" borderId="78" xfId="58" applyNumberFormat="1" applyFont="1" applyFill="1" applyBorder="1" applyAlignment="1" applyProtection="1">
      <alignment horizontal="right" vertical="center"/>
      <protection locked="0"/>
    </xf>
    <xf numFmtId="3" fontId="99" fillId="42" borderId="23" xfId="58" applyNumberFormat="1" applyFont="1" applyFill="1" applyBorder="1" applyAlignment="1" applyProtection="1">
      <alignment horizontal="right" vertical="center"/>
      <protection locked="0"/>
    </xf>
    <xf numFmtId="3" fontId="99" fillId="42" borderId="21" xfId="58" applyNumberFormat="1" applyFont="1" applyFill="1" applyBorder="1" applyAlignment="1" applyProtection="1">
      <alignment horizontal="right" vertical="center"/>
      <protection locked="0"/>
    </xf>
    <xf numFmtId="3" fontId="15" fillId="35" borderId="110" xfId="58" applyNumberFormat="1" applyFont="1" applyFill="1" applyBorder="1" applyAlignment="1" applyProtection="1">
      <alignment horizontal="right" vertical="center"/>
      <protection locked="0"/>
    </xf>
    <xf numFmtId="3" fontId="15" fillId="35" borderId="111" xfId="58" applyNumberFormat="1" applyFont="1" applyFill="1" applyBorder="1" applyAlignment="1" applyProtection="1">
      <alignment horizontal="right" vertical="center"/>
      <protection locked="0"/>
    </xf>
    <xf numFmtId="3" fontId="14" fillId="35" borderId="75" xfId="58" applyNumberFormat="1" applyFont="1" applyFill="1" applyBorder="1" applyAlignment="1" applyProtection="1">
      <alignment horizontal="right" vertical="center"/>
      <protection locked="0"/>
    </xf>
    <xf numFmtId="3" fontId="14" fillId="35" borderId="76" xfId="58" applyNumberFormat="1" applyFont="1" applyFill="1" applyBorder="1" applyAlignment="1" applyProtection="1">
      <alignment horizontal="right" vertical="center"/>
      <protection locked="0"/>
    </xf>
    <xf numFmtId="3" fontId="6" fillId="35" borderId="51" xfId="58" applyNumberFormat="1" applyFont="1" applyFill="1" applyBorder="1" applyAlignment="1" applyProtection="1">
      <alignment horizontal="right" vertical="center"/>
      <protection locked="0"/>
    </xf>
    <xf numFmtId="3" fontId="6" fillId="35" borderId="93" xfId="58" applyNumberFormat="1" applyFont="1" applyFill="1" applyBorder="1" applyAlignment="1" applyProtection="1">
      <alignment horizontal="right" vertical="center"/>
      <protection locked="0"/>
    </xf>
    <xf numFmtId="3" fontId="6" fillId="35" borderId="57" xfId="58" applyNumberFormat="1" applyFont="1" applyFill="1" applyBorder="1" applyAlignment="1" applyProtection="1">
      <alignment horizontal="right" vertical="center"/>
      <protection locked="0"/>
    </xf>
    <xf numFmtId="3" fontId="6" fillId="35" borderId="106" xfId="58" applyNumberFormat="1" applyFont="1" applyFill="1" applyBorder="1" applyAlignment="1" applyProtection="1">
      <alignment horizontal="right" vertical="center"/>
      <protection locked="0"/>
    </xf>
    <xf numFmtId="3" fontId="14" fillId="35" borderId="23" xfId="58" applyNumberFormat="1" applyFont="1" applyFill="1" applyBorder="1" applyAlignment="1" applyProtection="1">
      <alignment horizontal="right" vertical="center"/>
      <protection locked="0"/>
    </xf>
    <xf numFmtId="3" fontId="14" fillId="35" borderId="21" xfId="58" applyNumberFormat="1" applyFont="1" applyFill="1" applyBorder="1" applyAlignment="1" applyProtection="1">
      <alignment horizontal="right" vertical="center"/>
      <protection locked="0"/>
    </xf>
    <xf numFmtId="3" fontId="6" fillId="35" borderId="56" xfId="58" applyNumberFormat="1" applyFont="1" applyFill="1" applyBorder="1" applyAlignment="1" applyProtection="1">
      <alignment horizontal="right" vertical="center"/>
      <protection locked="0"/>
    </xf>
    <xf numFmtId="3" fontId="6" fillId="35" borderId="100" xfId="58" applyNumberFormat="1" applyFont="1" applyFill="1" applyBorder="1" applyAlignment="1" applyProtection="1">
      <alignment horizontal="right" vertical="center"/>
      <protection locked="0"/>
    </xf>
    <xf numFmtId="3" fontId="14" fillId="35" borderId="23" xfId="0" applyNumberFormat="1" applyFont="1" applyFill="1" applyBorder="1" applyAlignment="1" applyProtection="1">
      <alignment horizontal="right" vertical="center"/>
      <protection locked="0"/>
    </xf>
    <xf numFmtId="3" fontId="14" fillId="35" borderId="21" xfId="0" applyNumberFormat="1" applyFont="1" applyFill="1" applyBorder="1" applyAlignment="1" applyProtection="1">
      <alignment horizontal="right" vertical="center"/>
      <protection locked="0"/>
    </xf>
    <xf numFmtId="3" fontId="6" fillId="35" borderId="125" xfId="0" applyNumberFormat="1" applyFont="1" applyFill="1" applyBorder="1" applyAlignment="1" applyProtection="1">
      <alignment horizontal="right" vertical="center"/>
      <protection locked="0"/>
    </xf>
    <xf numFmtId="3" fontId="6" fillId="35" borderId="127" xfId="0" applyNumberFormat="1" applyFont="1" applyFill="1" applyBorder="1" applyAlignment="1" applyProtection="1">
      <alignment horizontal="right" vertical="center"/>
      <protection locked="0"/>
    </xf>
    <xf numFmtId="3" fontId="6" fillId="35" borderId="57" xfId="0" applyNumberFormat="1" applyFont="1" applyFill="1" applyBorder="1" applyAlignment="1" applyProtection="1">
      <alignment horizontal="right" vertical="center"/>
      <protection locked="0"/>
    </xf>
    <xf numFmtId="3" fontId="6" fillId="35" borderId="106" xfId="0" applyNumberFormat="1" applyFont="1" applyFill="1" applyBorder="1" applyAlignment="1" applyProtection="1">
      <alignment horizontal="right" vertical="center"/>
      <protection locked="0"/>
    </xf>
    <xf numFmtId="3" fontId="6" fillId="35" borderId="125" xfId="58" applyNumberFormat="1" applyFont="1" applyFill="1" applyBorder="1" applyAlignment="1" applyProtection="1">
      <alignment horizontal="right" vertical="center"/>
      <protection locked="0"/>
    </xf>
    <xf numFmtId="3" fontId="6" fillId="35" borderId="127" xfId="58" applyNumberFormat="1" applyFont="1" applyFill="1" applyBorder="1" applyAlignment="1" applyProtection="1">
      <alignment horizontal="right" vertical="center"/>
      <protection locked="0"/>
    </xf>
    <xf numFmtId="3" fontId="14" fillId="37" borderId="23" xfId="58" applyNumberFormat="1" applyFont="1" applyFill="1" applyBorder="1" applyAlignment="1" applyProtection="1">
      <alignment horizontal="right" vertical="center"/>
      <protection locked="0"/>
    </xf>
    <xf numFmtId="3" fontId="14" fillId="37" borderId="21" xfId="58" applyNumberFormat="1" applyFont="1" applyFill="1" applyBorder="1" applyAlignment="1" applyProtection="1">
      <alignment horizontal="right" vertical="center"/>
      <protection locked="0"/>
    </xf>
    <xf numFmtId="3" fontId="14" fillId="35" borderId="103" xfId="58" applyNumberFormat="1" applyFont="1" applyFill="1" applyBorder="1" applyAlignment="1" applyProtection="1">
      <alignment horizontal="right" vertical="center"/>
      <protection locked="0"/>
    </xf>
    <xf numFmtId="3" fontId="14" fillId="35" borderId="104" xfId="58" applyNumberFormat="1" applyFont="1" applyFill="1" applyBorder="1" applyAlignment="1" applyProtection="1">
      <alignment horizontal="right" vertical="center"/>
      <protection locked="0"/>
    </xf>
    <xf numFmtId="3" fontId="101" fillId="42" borderId="78" xfId="58" applyNumberFormat="1" applyFont="1" applyFill="1" applyBorder="1" applyAlignment="1" applyProtection="1">
      <alignment horizontal="right" vertical="center"/>
      <protection locked="0"/>
    </xf>
    <xf numFmtId="3" fontId="101" fillId="42" borderId="23" xfId="58" applyNumberFormat="1" applyFont="1" applyFill="1" applyBorder="1" applyAlignment="1" applyProtection="1">
      <alignment horizontal="right" vertical="center"/>
      <protection locked="0"/>
    </xf>
    <xf numFmtId="3" fontId="101" fillId="42" borderId="21" xfId="58" applyNumberFormat="1" applyFont="1" applyFill="1" applyBorder="1" applyAlignment="1" applyProtection="1">
      <alignment horizontal="right" vertical="center"/>
      <protection locked="0"/>
    </xf>
    <xf numFmtId="0" fontId="40" fillId="35" borderId="0" xfId="0" applyFont="1" applyFill="1" applyBorder="1" applyAlignment="1" applyProtection="1">
      <alignment horizontal="right"/>
      <protection/>
    </xf>
    <xf numFmtId="184" fontId="40" fillId="35" borderId="0" xfId="0" applyNumberFormat="1" applyFont="1" applyFill="1" applyBorder="1" applyAlignment="1" applyProtection="1">
      <alignment/>
      <protection/>
    </xf>
    <xf numFmtId="184" fontId="40" fillId="35" borderId="0" xfId="0" applyNumberFormat="1" applyFont="1" applyFill="1" applyBorder="1" applyAlignment="1" applyProtection="1">
      <alignment horizontal="left"/>
      <protection/>
    </xf>
    <xf numFmtId="0" fontId="48" fillId="45" borderId="71" xfId="0" applyFont="1" applyFill="1" applyBorder="1" applyAlignment="1" applyProtection="1">
      <alignment horizontal="left" vertical="center"/>
      <protection/>
    </xf>
    <xf numFmtId="0" fontId="48" fillId="45" borderId="72" xfId="58" applyFont="1" applyFill="1" applyBorder="1" applyAlignment="1" applyProtection="1">
      <alignment horizontal="left" vertical="center"/>
      <protection/>
    </xf>
    <xf numFmtId="0" fontId="48" fillId="45" borderId="72" xfId="0" applyFont="1" applyFill="1" applyBorder="1" applyAlignment="1" applyProtection="1">
      <alignment horizontal="left" vertical="center"/>
      <protection/>
    </xf>
    <xf numFmtId="0" fontId="48" fillId="45" borderId="73" xfId="58" applyFont="1" applyFill="1" applyBorder="1" applyAlignment="1" applyProtection="1">
      <alignment horizontal="left" vertical="center"/>
      <protection/>
    </xf>
    <xf numFmtId="0" fontId="48" fillId="42" borderId="60" xfId="0" applyFont="1" applyFill="1" applyBorder="1" applyAlignment="1" applyProtection="1">
      <alignment horizontal="center" vertical="center" wrapText="1"/>
      <protection/>
    </xf>
    <xf numFmtId="0" fontId="48" fillId="42" borderId="23" xfId="0" applyFont="1" applyFill="1" applyBorder="1" applyAlignment="1" applyProtection="1">
      <alignment horizontal="center" vertical="center" wrapText="1"/>
      <protection/>
    </xf>
    <xf numFmtId="0" fontId="48" fillId="42" borderId="21" xfId="0" applyFont="1" applyFill="1" applyBorder="1" applyAlignment="1" applyProtection="1">
      <alignment horizontal="center" vertical="center" wrapText="1"/>
      <protection/>
    </xf>
    <xf numFmtId="0" fontId="173" fillId="42" borderId="23" xfId="58" applyFont="1" applyFill="1" applyBorder="1" applyAlignment="1" applyProtection="1">
      <alignment horizontal="center" vertical="center"/>
      <protection/>
    </xf>
    <xf numFmtId="0" fontId="93" fillId="42" borderId="23" xfId="58" applyFont="1" applyFill="1" applyBorder="1" applyAlignment="1" applyProtection="1">
      <alignment horizontal="center" vertical="center"/>
      <protection/>
    </xf>
    <xf numFmtId="0" fontId="30" fillId="35" borderId="0" xfId="0" applyFont="1" applyFill="1" applyBorder="1" applyAlignment="1" applyProtection="1">
      <alignment horizontal="right"/>
      <protection/>
    </xf>
    <xf numFmtId="0" fontId="48" fillId="35" borderId="0" xfId="0" applyFont="1" applyFill="1" applyBorder="1" applyAlignment="1" applyProtection="1">
      <alignment horizontal="left"/>
      <protection/>
    </xf>
    <xf numFmtId="1" fontId="118" fillId="35" borderId="0" xfId="0" applyNumberFormat="1" applyFont="1" applyFill="1" applyBorder="1" applyAlignment="1" applyProtection="1">
      <alignment/>
      <protection/>
    </xf>
    <xf numFmtId="0" fontId="119" fillId="35" borderId="0" xfId="0" applyFont="1" applyFill="1" applyAlignment="1" applyProtection="1">
      <alignment/>
      <protection/>
    </xf>
    <xf numFmtId="1" fontId="40" fillId="35" borderId="126" xfId="0" applyNumberFormat="1" applyFont="1" applyFill="1" applyBorder="1" applyAlignment="1" applyProtection="1">
      <alignment/>
      <protection/>
    </xf>
    <xf numFmtId="0" fontId="82" fillId="35" borderId="126" xfId="0" applyFont="1" applyFill="1" applyBorder="1" applyAlignment="1" applyProtection="1">
      <alignment/>
      <protection/>
    </xf>
    <xf numFmtId="3" fontId="40" fillId="35" borderId="0" xfId="0" applyNumberFormat="1" applyFont="1" applyFill="1" applyBorder="1" applyAlignment="1" applyProtection="1">
      <alignment/>
      <protection/>
    </xf>
    <xf numFmtId="0" fontId="98" fillId="35" borderId="0" xfId="0" applyFont="1" applyFill="1" applyBorder="1" applyAlignment="1" applyProtection="1" quotePrefix="1">
      <alignment horizontal="left"/>
      <protection/>
    </xf>
    <xf numFmtId="0" fontId="94" fillId="42" borderId="59" xfId="58" applyFont="1" applyFill="1" applyBorder="1" applyAlignment="1" applyProtection="1">
      <alignment vertical="center" wrapText="1"/>
      <protection/>
    </xf>
    <xf numFmtId="0" fontId="111" fillId="43" borderId="0" xfId="58" applyFont="1" applyFill="1" applyAlignment="1">
      <alignment horizontal="left" vertical="center"/>
      <protection/>
    </xf>
    <xf numFmtId="0" fontId="174" fillId="43" borderId="0" xfId="58" applyFont="1" applyFill="1" applyAlignment="1">
      <alignment horizontal="left" vertical="center"/>
      <protection/>
    </xf>
    <xf numFmtId="0" fontId="175" fillId="43" borderId="0" xfId="58" applyFont="1" applyFill="1" applyAlignment="1">
      <alignment horizontal="left" vertical="center"/>
      <protection/>
    </xf>
    <xf numFmtId="0" fontId="112" fillId="43" borderId="0" xfId="58" applyFont="1" applyFill="1" applyAlignment="1">
      <alignment horizontal="left" vertical="center"/>
      <protection/>
    </xf>
    <xf numFmtId="0" fontId="112" fillId="35" borderId="0" xfId="58" applyFont="1" applyFill="1" applyAlignment="1" applyProtection="1">
      <alignment horizontal="left" vertical="center"/>
      <protection/>
    </xf>
    <xf numFmtId="0" fontId="6" fillId="35" borderId="0" xfId="58" applyFont="1" applyFill="1" applyAlignment="1" applyProtection="1">
      <alignment horizontal="left" vertical="center"/>
      <protection/>
    </xf>
    <xf numFmtId="0" fontId="6" fillId="35" borderId="24" xfId="58" applyFont="1" applyFill="1" applyBorder="1" applyAlignment="1" applyProtection="1">
      <alignment vertical="center"/>
      <protection/>
    </xf>
    <xf numFmtId="0" fontId="6" fillId="35" borderId="24" xfId="58" applyFont="1" applyFill="1" applyBorder="1" applyAlignment="1" applyProtection="1">
      <alignment vertical="center" wrapText="1"/>
      <protection/>
    </xf>
    <xf numFmtId="0" fontId="176" fillId="45" borderId="102" xfId="66" applyFont="1" applyFill="1" applyBorder="1" applyAlignment="1" applyProtection="1" quotePrefix="1">
      <alignment horizontal="right" vertical="center"/>
      <protection/>
    </xf>
    <xf numFmtId="0" fontId="29" fillId="45" borderId="103" xfId="66" applyFont="1" applyFill="1" applyBorder="1" applyAlignment="1" applyProtection="1">
      <alignment horizontal="right" vertical="center"/>
      <protection/>
    </xf>
    <xf numFmtId="0" fontId="151" fillId="45" borderId="104" xfId="58" applyFont="1" applyFill="1" applyBorder="1" applyAlignment="1" applyProtection="1">
      <alignment horizontal="center" vertical="center" wrapText="1"/>
      <protection/>
    </xf>
    <xf numFmtId="187" fontId="12" fillId="35" borderId="0" xfId="66" applyNumberFormat="1" applyFont="1" applyFill="1" applyBorder="1" applyAlignment="1" applyProtection="1" quotePrefix="1">
      <alignment horizontal="center" vertical="center"/>
      <protection/>
    </xf>
    <xf numFmtId="0" fontId="6" fillId="35" borderId="0" xfId="66" applyFont="1" applyFill="1" applyBorder="1" applyAlignment="1" applyProtection="1">
      <alignment horizontal="left" vertical="center" wrapText="1"/>
      <protection/>
    </xf>
    <xf numFmtId="0" fontId="6" fillId="37" borderId="0" xfId="58" applyFont="1" applyFill="1" applyAlignment="1" applyProtection="1">
      <alignment vertical="center"/>
      <protection/>
    </xf>
    <xf numFmtId="0" fontId="6" fillId="37" borderId="0" xfId="58" applyFont="1" applyFill="1" applyAlignment="1" applyProtection="1">
      <alignment vertical="center" wrapText="1"/>
      <protection/>
    </xf>
    <xf numFmtId="3" fontId="9" fillId="37" borderId="0" xfId="58" applyNumberFormat="1" applyFont="1" applyFill="1" applyAlignment="1" applyProtection="1">
      <alignment horizontal="right" vertical="center"/>
      <protection/>
    </xf>
    <xf numFmtId="3" fontId="6" fillId="37" borderId="0" xfId="58" applyNumberFormat="1" applyFont="1" applyFill="1" applyAlignment="1" applyProtection="1">
      <alignment horizontal="right" vertical="center"/>
      <protection/>
    </xf>
    <xf numFmtId="0" fontId="99" fillId="45" borderId="71" xfId="58" applyFont="1" applyFill="1" applyBorder="1" applyAlignment="1" applyProtection="1">
      <alignment vertical="center"/>
      <protection/>
    </xf>
    <xf numFmtId="0" fontId="99" fillId="45" borderId="72" xfId="58" applyFont="1" applyFill="1" applyBorder="1" applyAlignment="1" applyProtection="1">
      <alignment horizontal="center" vertical="center"/>
      <protection/>
    </xf>
    <xf numFmtId="0" fontId="63" fillId="45" borderId="73" xfId="58" applyFont="1" applyFill="1" applyBorder="1" applyAlignment="1" applyProtection="1">
      <alignment horizontal="center" vertical="center" wrapText="1"/>
      <protection/>
    </xf>
    <xf numFmtId="0" fontId="12" fillId="0" borderId="31" xfId="66" applyFont="1" applyFill="1" applyBorder="1" applyAlignment="1" applyProtection="1">
      <alignment horizontal="center" vertical="center" wrapText="1"/>
      <protection/>
    </xf>
    <xf numFmtId="0" fontId="6" fillId="35" borderId="69" xfId="58" applyFont="1" applyFill="1" applyBorder="1" applyAlignment="1" applyProtection="1">
      <alignment horizontal="center" vertical="center"/>
      <protection/>
    </xf>
    <xf numFmtId="0" fontId="99" fillId="35" borderId="21" xfId="58" applyFont="1" applyFill="1" applyBorder="1" applyAlignment="1" applyProtection="1">
      <alignment horizontal="left" vertical="center" wrapText="1"/>
      <protection/>
    </xf>
    <xf numFmtId="0" fontId="6" fillId="35" borderId="17" xfId="58" applyFont="1" applyFill="1" applyBorder="1" applyAlignment="1" applyProtection="1">
      <alignment horizontal="center" vertical="center" wrapText="1"/>
      <protection/>
    </xf>
    <xf numFmtId="0" fontId="6" fillId="35" borderId="0" xfId="58" applyFont="1" applyFill="1" applyBorder="1" applyAlignment="1" applyProtection="1">
      <alignment horizontal="center" vertical="center" wrapText="1"/>
      <protection/>
    </xf>
    <xf numFmtId="0" fontId="6" fillId="35" borderId="69" xfId="58" applyFont="1" applyFill="1" applyBorder="1" applyAlignment="1" applyProtection="1">
      <alignment horizontal="center" vertical="center" wrapText="1"/>
      <protection/>
    </xf>
    <xf numFmtId="189" fontId="94" fillId="42" borderId="45" xfId="66" applyNumberFormat="1" applyFont="1" applyFill="1" applyBorder="1" applyAlignment="1" applyProtection="1">
      <alignment horizontal="right"/>
      <protection/>
    </xf>
    <xf numFmtId="189" fontId="177" fillId="45" borderId="102" xfId="66" applyNumberFormat="1" applyFont="1" applyFill="1" applyBorder="1" applyAlignment="1" applyProtection="1">
      <alignment horizontal="right" vertical="center"/>
      <protection/>
    </xf>
    <xf numFmtId="0" fontId="94" fillId="45" borderId="104" xfId="68" applyFont="1" applyFill="1" applyBorder="1" applyAlignment="1" applyProtection="1">
      <alignment horizontal="center" vertical="center" wrapText="1"/>
      <protection/>
    </xf>
    <xf numFmtId="0" fontId="6" fillId="43" borderId="0" xfId="58" applyFont="1" applyFill="1" applyAlignment="1" applyProtection="1">
      <alignment vertical="center"/>
      <protection/>
    </xf>
    <xf numFmtId="0" fontId="6" fillId="43" borderId="0" xfId="58" applyFont="1" applyFill="1" applyBorder="1" applyAlignment="1" applyProtection="1">
      <alignment vertical="center"/>
      <protection/>
    </xf>
    <xf numFmtId="0" fontId="6" fillId="43" borderId="0" xfId="58" applyFont="1" applyFill="1" applyBorder="1" applyAlignment="1" applyProtection="1">
      <alignment vertical="center" wrapText="1"/>
      <protection/>
    </xf>
    <xf numFmtId="3" fontId="6" fillId="43" borderId="0" xfId="58" applyNumberFormat="1" applyFont="1" applyFill="1" applyAlignment="1" applyProtection="1">
      <alignment horizontal="right" vertical="center"/>
      <protection/>
    </xf>
    <xf numFmtId="0" fontId="6" fillId="43" borderId="0" xfId="58" applyFont="1" applyFill="1" applyAlignment="1" applyProtection="1">
      <alignment vertical="center" wrapText="1"/>
      <protection/>
    </xf>
    <xf numFmtId="185" fontId="178" fillId="42" borderId="60" xfId="58" applyNumberFormat="1" applyFont="1" applyFill="1" applyBorder="1" applyAlignment="1" applyProtection="1">
      <alignment horizontal="center" vertical="center"/>
      <protection/>
    </xf>
    <xf numFmtId="0" fontId="14" fillId="35" borderId="0" xfId="58" applyFont="1" applyFill="1" applyAlignment="1" applyProtection="1">
      <alignment horizontal="center" vertical="center"/>
      <protection/>
    </xf>
    <xf numFmtId="0" fontId="14" fillId="0" borderId="0" xfId="58" applyFont="1" applyAlignment="1" applyProtection="1" quotePrefix="1">
      <alignment vertical="center"/>
      <protection/>
    </xf>
    <xf numFmtId="186" fontId="6" fillId="35" borderId="0" xfId="58"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122" fillId="46" borderId="71" xfId="58" applyFont="1" applyFill="1" applyBorder="1" applyAlignment="1" applyProtection="1">
      <alignment vertical="center"/>
      <protection/>
    </xf>
    <xf numFmtId="0" fontId="122" fillId="46" borderId="72" xfId="58" applyFont="1" applyFill="1" applyBorder="1" applyAlignment="1" applyProtection="1">
      <alignment horizontal="center" vertical="center"/>
      <protection/>
    </xf>
    <xf numFmtId="0" fontId="156" fillId="46" borderId="73" xfId="58" applyFont="1" applyFill="1" applyBorder="1" applyAlignment="1" applyProtection="1">
      <alignment horizontal="center" vertical="center" wrapText="1"/>
      <protection/>
    </xf>
    <xf numFmtId="0" fontId="157" fillId="46" borderId="16" xfId="58" applyFont="1" applyFill="1" applyBorder="1" applyAlignment="1" applyProtection="1">
      <alignment horizontal="center" vertical="center"/>
      <protection/>
    </xf>
    <xf numFmtId="0" fontId="179" fillId="46" borderId="72" xfId="0" applyFont="1" applyFill="1" applyBorder="1" applyAlignment="1" applyProtection="1">
      <alignment horizontal="center" vertical="center"/>
      <protection/>
    </xf>
    <xf numFmtId="0" fontId="180" fillId="46" borderId="72" xfId="58" applyFont="1" applyFill="1" applyBorder="1" applyAlignment="1" applyProtection="1">
      <alignment horizontal="center" vertical="center"/>
      <protection/>
    </xf>
    <xf numFmtId="0" fontId="122" fillId="46" borderId="73" xfId="58" applyFont="1" applyFill="1" applyBorder="1" applyAlignment="1" applyProtection="1">
      <alignment horizontal="center" vertical="center"/>
      <protection/>
    </xf>
    <xf numFmtId="0" fontId="158" fillId="46" borderId="74" xfId="58" applyFont="1" applyFill="1" applyBorder="1" applyAlignment="1" applyProtection="1" quotePrefix="1">
      <alignment horizontal="center" vertical="center"/>
      <protection/>
    </xf>
    <xf numFmtId="0" fontId="158" fillId="46" borderId="75" xfId="58" applyFont="1" applyFill="1" applyBorder="1" applyAlignment="1" applyProtection="1">
      <alignment horizontal="center" vertical="center"/>
      <protection/>
    </xf>
    <xf numFmtId="0" fontId="181" fillId="0" borderId="82" xfId="66" applyFont="1" applyFill="1" applyBorder="1" applyAlignment="1" applyProtection="1">
      <alignment horizontal="center" vertical="center" wrapText="1"/>
      <protection/>
    </xf>
    <xf numFmtId="1" fontId="156" fillId="44" borderId="78" xfId="58" applyNumberFormat="1" applyFont="1" applyFill="1" applyBorder="1" applyAlignment="1" applyProtection="1">
      <alignment horizontal="center" vertical="center" wrapText="1"/>
      <protection/>
    </xf>
    <xf numFmtId="1" fontId="156" fillId="44" borderId="60" xfId="58" applyNumberFormat="1" applyFont="1" applyFill="1" applyBorder="1" applyAlignment="1" applyProtection="1">
      <alignment horizontal="center" vertical="center" wrapText="1"/>
      <protection/>
    </xf>
    <xf numFmtId="1" fontId="156" fillId="44" borderId="23" xfId="58" applyNumberFormat="1" applyFont="1" applyFill="1" applyBorder="1" applyAlignment="1" applyProtection="1">
      <alignment horizontal="center" vertical="center" wrapText="1"/>
      <protection/>
    </xf>
    <xf numFmtId="1" fontId="156" fillId="44" borderId="21" xfId="58" applyNumberFormat="1" applyFont="1" applyFill="1" applyBorder="1" applyAlignment="1" applyProtection="1">
      <alignment horizontal="center" vertical="center" wrapText="1"/>
      <protection/>
    </xf>
    <xf numFmtId="0" fontId="166" fillId="42" borderId="33" xfId="66" applyFont="1" applyFill="1" applyBorder="1" applyAlignment="1" applyProtection="1">
      <alignment horizontal="left" vertical="center"/>
      <protection/>
    </xf>
    <xf numFmtId="1" fontId="6" fillId="42" borderId="60" xfId="58" applyNumberFormat="1" applyFont="1" applyFill="1" applyBorder="1" applyAlignment="1" applyProtection="1">
      <alignment horizontal="left" vertical="center" wrapText="1"/>
      <protection/>
    </xf>
    <xf numFmtId="1" fontId="122" fillId="35" borderId="21" xfId="58" applyNumberFormat="1" applyFont="1" applyFill="1" applyBorder="1" applyAlignment="1" applyProtection="1">
      <alignment horizontal="left" vertical="center" wrapText="1"/>
      <protection/>
    </xf>
    <xf numFmtId="0" fontId="158" fillId="35" borderId="50" xfId="66" applyFont="1" applyFill="1" applyBorder="1" applyAlignment="1" applyProtection="1">
      <alignment horizontal="left" vertical="center"/>
      <protection/>
    </xf>
    <xf numFmtId="1" fontId="6" fillId="35" borderId="77" xfId="58" applyNumberFormat="1" applyFont="1" applyFill="1" applyBorder="1" applyAlignment="1" applyProtection="1">
      <alignment horizontal="center" vertical="center"/>
      <protection/>
    </xf>
    <xf numFmtId="0" fontId="11" fillId="35" borderId="77" xfId="66" applyFont="1" applyFill="1" applyBorder="1" applyAlignment="1" applyProtection="1">
      <alignment horizontal="left" vertical="center" wrapText="1"/>
      <protection/>
    </xf>
    <xf numFmtId="187" fontId="91" fillId="44" borderId="45" xfId="66" applyNumberFormat="1" applyFont="1" applyFill="1" applyBorder="1" applyAlignment="1" applyProtection="1" quotePrefix="1">
      <alignment horizontal="right" vertical="center"/>
      <protection/>
    </xf>
    <xf numFmtId="3" fontId="122" fillId="44" borderId="78" xfId="58" applyNumberFormat="1" applyFont="1" applyFill="1" applyBorder="1" applyAlignment="1" applyProtection="1">
      <alignment vertical="center"/>
      <protection/>
    </xf>
    <xf numFmtId="0" fontId="159" fillId="46" borderId="102" xfId="66" applyFont="1" applyFill="1" applyBorder="1" applyAlignment="1" applyProtection="1" quotePrefix="1">
      <alignment horizontal="right" vertical="center"/>
      <protection/>
    </xf>
    <xf numFmtId="0" fontId="158" fillId="46" borderId="103" xfId="66" applyFont="1" applyFill="1" applyBorder="1" applyAlignment="1" applyProtection="1">
      <alignment horizontal="right" vertical="center"/>
      <protection/>
    </xf>
    <xf numFmtId="0" fontId="156" fillId="46" borderId="104" xfId="66" applyFont="1" applyFill="1" applyBorder="1" applyAlignment="1" applyProtection="1">
      <alignment horizontal="center" vertical="center" wrapText="1"/>
      <protection/>
    </xf>
    <xf numFmtId="3" fontId="122" fillId="46" borderId="102" xfId="58" applyNumberFormat="1" applyFont="1" applyFill="1" applyBorder="1" applyAlignment="1" applyProtection="1">
      <alignment vertical="center"/>
      <protection/>
    </xf>
    <xf numFmtId="3" fontId="122" fillId="46" borderId="103" xfId="58" applyNumberFormat="1" applyFont="1" applyFill="1" applyBorder="1" applyAlignment="1" applyProtection="1">
      <alignment vertical="center"/>
      <protection/>
    </xf>
    <xf numFmtId="0" fontId="6" fillId="46" borderId="0" xfId="58" applyFont="1" applyFill="1" applyAlignment="1" applyProtection="1">
      <alignment vertical="center"/>
      <protection/>
    </xf>
    <xf numFmtId="0" fontId="6" fillId="46" borderId="0" xfId="58" applyFont="1" applyFill="1" applyAlignment="1" applyProtection="1">
      <alignment vertical="center" wrapText="1"/>
      <protection/>
    </xf>
    <xf numFmtId="3" fontId="6" fillId="46" borderId="0" xfId="58" applyNumberFormat="1" applyFont="1" applyFill="1" applyAlignment="1" applyProtection="1">
      <alignment horizontal="right" vertical="center"/>
      <protection/>
    </xf>
    <xf numFmtId="0" fontId="6" fillId="35" borderId="0" xfId="58" applyFont="1" applyFill="1" applyBorder="1" applyAlignment="1" applyProtection="1" quotePrefix="1">
      <alignment horizontal="center" vertical="center"/>
      <protection/>
    </xf>
    <xf numFmtId="0" fontId="6" fillId="35" borderId="0" xfId="58" applyFont="1" applyFill="1" applyBorder="1" applyAlignment="1" applyProtection="1" quotePrefix="1">
      <alignment horizontal="center" vertical="center" wrapText="1"/>
      <protection/>
    </xf>
    <xf numFmtId="0" fontId="14" fillId="45" borderId="32" xfId="58" applyFont="1" applyFill="1" applyBorder="1" applyAlignment="1" applyProtection="1" quotePrefix="1">
      <alignment horizontal="center" vertical="center" wrapText="1"/>
      <protection/>
    </xf>
    <xf numFmtId="0" fontId="38" fillId="45" borderId="32" xfId="58" applyFont="1" applyFill="1" applyBorder="1" applyAlignment="1" applyProtection="1">
      <alignment horizontal="center" vertical="center" wrapText="1"/>
      <protection/>
    </xf>
    <xf numFmtId="1" fontId="14" fillId="0" borderId="154" xfId="58" applyNumberFormat="1" applyFont="1" applyFill="1" applyBorder="1" applyAlignment="1" applyProtection="1">
      <alignment horizontal="center" vertical="center" wrapText="1"/>
      <protection/>
    </xf>
    <xf numFmtId="1" fontId="14" fillId="0" borderId="155" xfId="58" applyNumberFormat="1" applyFont="1" applyFill="1" applyBorder="1" applyAlignment="1" applyProtection="1">
      <alignment horizontal="center" vertical="center" wrapText="1"/>
      <protection/>
    </xf>
    <xf numFmtId="1" fontId="14" fillId="0" borderId="25" xfId="58" applyNumberFormat="1" applyFont="1" applyFill="1" applyBorder="1" applyAlignment="1" applyProtection="1">
      <alignment horizontal="center" vertical="center" wrapText="1"/>
      <protection/>
    </xf>
    <xf numFmtId="1" fontId="14" fillId="0" borderId="20" xfId="58" applyNumberFormat="1" applyFont="1" applyFill="1" applyBorder="1" applyAlignment="1" applyProtection="1">
      <alignment horizontal="center" vertical="center" wrapText="1"/>
      <protection/>
    </xf>
    <xf numFmtId="0" fontId="6" fillId="35" borderId="0" xfId="58" applyFont="1" applyFill="1" applyBorder="1" applyAlignment="1" applyProtection="1" quotePrefix="1">
      <alignment horizontal="left" vertical="center"/>
      <protection/>
    </xf>
    <xf numFmtId="0" fontId="6" fillId="35" borderId="18" xfId="58" applyFont="1" applyFill="1" applyBorder="1" applyAlignment="1" applyProtection="1" quotePrefix="1">
      <alignment horizontal="left" vertical="center" wrapText="1"/>
      <protection/>
    </xf>
    <xf numFmtId="3" fontId="25" fillId="35" borderId="18" xfId="58" applyNumberFormat="1" applyFont="1" applyFill="1" applyBorder="1" applyAlignment="1" applyProtection="1" quotePrefix="1">
      <alignment horizontal="center" vertical="center"/>
      <protection/>
    </xf>
    <xf numFmtId="3" fontId="14" fillId="35" borderId="18" xfId="58" applyNumberFormat="1" applyFont="1" applyFill="1" applyBorder="1" applyAlignment="1" applyProtection="1" quotePrefix="1">
      <alignment horizontal="center" vertical="center"/>
      <protection/>
    </xf>
    <xf numFmtId="3" fontId="20" fillId="35" borderId="89" xfId="58" applyNumberFormat="1" applyFont="1" applyFill="1" applyBorder="1" applyAlignment="1" applyProtection="1" quotePrefix="1">
      <alignment horizontal="center" vertical="center"/>
      <protection/>
    </xf>
    <xf numFmtId="184" fontId="14" fillId="45" borderId="140" xfId="58" applyNumberFormat="1" applyFont="1" applyFill="1" applyBorder="1" applyAlignment="1" applyProtection="1" quotePrefix="1">
      <alignment horizontal="center" vertical="center" wrapText="1"/>
      <protection/>
    </xf>
    <xf numFmtId="195" fontId="93" fillId="45" borderId="140" xfId="58" applyNumberFormat="1" applyFont="1" applyFill="1" applyBorder="1" applyAlignment="1" applyProtection="1">
      <alignment horizontal="right" vertical="center"/>
      <protection/>
    </xf>
    <xf numFmtId="195" fontId="101" fillId="45" borderId="130" xfId="58" applyNumberFormat="1" applyFont="1" applyFill="1" applyBorder="1" applyAlignment="1" applyProtection="1">
      <alignment horizontal="right" vertical="center"/>
      <protection/>
    </xf>
    <xf numFmtId="195" fontId="101" fillId="45" borderId="147" xfId="58" applyNumberFormat="1" applyFont="1" applyFill="1" applyBorder="1" applyAlignment="1" applyProtection="1">
      <alignment horizontal="right" vertical="center"/>
      <protection/>
    </xf>
    <xf numFmtId="195" fontId="101" fillId="45" borderId="131" xfId="58" applyNumberFormat="1" applyFont="1" applyFill="1" applyBorder="1" applyAlignment="1" applyProtection="1">
      <alignment horizontal="right" vertical="center"/>
      <protection/>
    </xf>
    <xf numFmtId="184" fontId="14" fillId="45" borderId="87" xfId="58" applyNumberFormat="1" applyFont="1" applyFill="1" applyBorder="1" applyAlignment="1" applyProtection="1" quotePrefix="1">
      <alignment horizontal="center" vertical="center" wrapText="1"/>
      <protection/>
    </xf>
    <xf numFmtId="195" fontId="93" fillId="45" borderId="87" xfId="58" applyNumberFormat="1" applyFont="1" applyFill="1" applyBorder="1" applyAlignment="1" applyProtection="1">
      <alignment horizontal="right" vertical="center"/>
      <protection/>
    </xf>
    <xf numFmtId="195" fontId="101" fillId="45" borderId="102" xfId="58" applyNumberFormat="1" applyFont="1" applyFill="1" applyBorder="1" applyAlignment="1" applyProtection="1">
      <alignment horizontal="right" vertical="center"/>
      <protection/>
    </xf>
    <xf numFmtId="195" fontId="101" fillId="45" borderId="103" xfId="58" applyNumberFormat="1" applyFont="1" applyFill="1" applyBorder="1" applyAlignment="1" applyProtection="1">
      <alignment horizontal="right" vertical="center"/>
      <protection/>
    </xf>
    <xf numFmtId="195" fontId="101" fillId="45" borderId="104" xfId="58" applyNumberFormat="1" applyFont="1" applyFill="1" applyBorder="1" applyAlignment="1" applyProtection="1">
      <alignment horizontal="right" vertical="center"/>
      <protection/>
    </xf>
    <xf numFmtId="0" fontId="6" fillId="47" borderId="0" xfId="58" applyFont="1" applyFill="1" applyAlignment="1" applyProtection="1">
      <alignment vertical="center"/>
      <protection/>
    </xf>
    <xf numFmtId="0" fontId="6" fillId="47" borderId="0" xfId="58" applyFont="1" applyFill="1" applyAlignment="1" applyProtection="1">
      <alignment vertical="center" wrapText="1"/>
      <protection/>
    </xf>
    <xf numFmtId="3" fontId="6" fillId="47" borderId="0" xfId="58" applyNumberFormat="1" applyFont="1" applyFill="1" applyAlignment="1" applyProtection="1">
      <alignment horizontal="right" vertical="center"/>
      <protection/>
    </xf>
    <xf numFmtId="0" fontId="9" fillId="35" borderId="81" xfId="66" applyFont="1" applyFill="1" applyBorder="1" applyAlignment="1" applyProtection="1">
      <alignment horizontal="center" vertical="center" wrapText="1"/>
      <protection/>
    </xf>
    <xf numFmtId="1" fontId="14" fillId="35" borderId="78" xfId="58" applyNumberFormat="1" applyFont="1" applyFill="1" applyBorder="1" applyAlignment="1" applyProtection="1">
      <alignment horizontal="center" vertical="center" wrapText="1"/>
      <protection/>
    </xf>
    <xf numFmtId="1" fontId="14" fillId="35" borderId="60" xfId="58" applyNumberFormat="1" applyFont="1" applyFill="1" applyBorder="1" applyAlignment="1" applyProtection="1">
      <alignment horizontal="center" vertical="center" wrapText="1"/>
      <protection/>
    </xf>
    <xf numFmtId="1" fontId="14" fillId="35" borderId="23" xfId="58" applyNumberFormat="1" applyFont="1" applyFill="1" applyBorder="1" applyAlignment="1" applyProtection="1">
      <alignment horizontal="center" vertical="center" wrapText="1"/>
      <protection/>
    </xf>
    <xf numFmtId="1" fontId="14" fillId="35" borderId="21" xfId="58" applyNumberFormat="1" applyFont="1" applyFill="1" applyBorder="1" applyAlignment="1" applyProtection="1">
      <alignment horizontal="center" vertical="center" wrapText="1"/>
      <protection/>
    </xf>
    <xf numFmtId="0" fontId="6" fillId="35" borderId="45" xfId="58" applyFont="1" applyFill="1" applyBorder="1" applyAlignment="1" applyProtection="1">
      <alignment horizontal="left" vertical="center"/>
      <protection/>
    </xf>
    <xf numFmtId="0" fontId="6" fillId="35" borderId="60" xfId="58" applyFont="1" applyFill="1" applyBorder="1" applyAlignment="1" applyProtection="1">
      <alignment horizontal="left" vertical="center"/>
      <protection/>
    </xf>
    <xf numFmtId="0" fontId="102" fillId="35" borderId="0" xfId="58" applyFont="1" applyFill="1" applyBorder="1" applyAlignment="1" applyProtection="1">
      <alignment horizontal="left" vertical="center" wrapText="1"/>
      <protection/>
    </xf>
    <xf numFmtId="0" fontId="161" fillId="35" borderId="151" xfId="62" applyFont="1" applyFill="1" applyBorder="1" applyProtection="1">
      <alignment/>
      <protection/>
    </xf>
    <xf numFmtId="0" fontId="104" fillId="42" borderId="19" xfId="58" applyFont="1" applyFill="1" applyBorder="1" applyAlignment="1" applyProtection="1" quotePrefix="1">
      <alignment vertical="center"/>
      <protection/>
    </xf>
    <xf numFmtId="0" fontId="102" fillId="42" borderId="133" xfId="58" applyFont="1" applyFill="1" applyBorder="1" applyAlignment="1" applyProtection="1">
      <alignment horizontal="center" vertical="center"/>
      <protection/>
    </xf>
    <xf numFmtId="0" fontId="103" fillId="42" borderId="78" xfId="58" applyFont="1" applyFill="1" applyBorder="1" applyAlignment="1" applyProtection="1" quotePrefix="1">
      <alignment horizontal="center" vertical="center"/>
      <protection/>
    </xf>
    <xf numFmtId="0" fontId="103" fillId="42" borderId="23" xfId="58" applyFont="1" applyFill="1" applyBorder="1" applyAlignment="1" applyProtection="1">
      <alignment horizontal="center" vertical="center"/>
      <protection/>
    </xf>
    <xf numFmtId="0" fontId="104" fillId="42" borderId="134" xfId="58" applyFont="1" applyFill="1" applyBorder="1" applyAlignment="1" applyProtection="1" quotePrefix="1">
      <alignment horizontal="center" vertical="center" wrapText="1"/>
      <protection/>
    </xf>
    <xf numFmtId="0" fontId="182" fillId="42" borderId="16" xfId="58" applyFont="1" applyFill="1" applyBorder="1" applyAlignment="1" applyProtection="1">
      <alignment horizontal="center" vertical="center"/>
      <protection/>
    </xf>
    <xf numFmtId="0" fontId="182" fillId="42" borderId="19" xfId="58" applyFont="1" applyFill="1" applyBorder="1" applyAlignment="1" applyProtection="1">
      <alignment horizontal="center" vertical="center"/>
      <protection/>
    </xf>
    <xf numFmtId="0" fontId="183" fillId="42" borderId="133" xfId="0" applyFont="1" applyFill="1" applyBorder="1" applyAlignment="1" applyProtection="1">
      <alignment horizontal="center" vertical="center"/>
      <protection/>
    </xf>
    <xf numFmtId="0" fontId="184" fillId="42" borderId="133" xfId="58" applyFont="1" applyFill="1" applyBorder="1" applyAlignment="1" applyProtection="1">
      <alignment horizontal="center" vertical="center"/>
      <protection/>
    </xf>
    <xf numFmtId="0" fontId="102" fillId="42" borderId="134" xfId="58" applyFont="1" applyFill="1" applyBorder="1" applyAlignment="1" applyProtection="1">
      <alignment horizontal="center" vertical="center"/>
      <protection/>
    </xf>
    <xf numFmtId="0" fontId="185" fillId="42" borderId="33" xfId="58" applyFont="1" applyFill="1" applyBorder="1" applyAlignment="1" applyProtection="1">
      <alignment horizontal="center" vertical="center"/>
      <protection/>
    </xf>
    <xf numFmtId="0" fontId="182" fillId="42" borderId="33" xfId="58" applyFont="1" applyFill="1" applyBorder="1" applyAlignment="1" applyProtection="1">
      <alignment horizontal="center" vertical="center"/>
      <protection/>
    </xf>
    <xf numFmtId="184" fontId="186" fillId="42" borderId="156" xfId="66" applyNumberFormat="1" applyFont="1" applyFill="1" applyBorder="1" applyAlignment="1">
      <alignment horizontal="right" vertical="center"/>
      <protection/>
    </xf>
    <xf numFmtId="187" fontId="103" fillId="42" borderId="103" xfId="66" applyNumberFormat="1" applyFont="1" applyFill="1" applyBorder="1" applyAlignment="1" quotePrefix="1">
      <alignment horizontal="right" vertical="center"/>
      <protection/>
    </xf>
    <xf numFmtId="0" fontId="104" fillId="42" borderId="88" xfId="66" applyFont="1" applyFill="1" applyBorder="1" applyAlignment="1">
      <alignment horizontal="center" vertical="center" wrapText="1"/>
      <protection/>
    </xf>
    <xf numFmtId="3" fontId="104" fillId="42" borderId="87" xfId="58" applyNumberFormat="1" applyFont="1" applyFill="1" applyBorder="1" applyAlignment="1" applyProtection="1">
      <alignment vertical="center"/>
      <protection/>
    </xf>
    <xf numFmtId="3" fontId="102" fillId="42" borderId="102" xfId="58" applyNumberFormat="1" applyFont="1" applyFill="1" applyBorder="1" applyAlignment="1">
      <alignment vertical="center"/>
      <protection/>
    </xf>
    <xf numFmtId="3" fontId="102" fillId="42" borderId="103" xfId="58" applyNumberFormat="1" applyFont="1" applyFill="1" applyBorder="1" applyAlignment="1">
      <alignment vertical="center"/>
      <protection/>
    </xf>
    <xf numFmtId="3" fontId="102" fillId="42" borderId="104" xfId="58" applyNumberFormat="1" applyFont="1" applyFill="1" applyBorder="1" applyAlignment="1">
      <alignment vertical="center"/>
      <protection/>
    </xf>
    <xf numFmtId="193" fontId="122" fillId="44" borderId="97" xfId="58" applyNumberFormat="1" applyFont="1" applyFill="1" applyBorder="1" applyAlignment="1" applyProtection="1">
      <alignment horizontal="center" vertical="center"/>
      <protection/>
    </xf>
    <xf numFmtId="193" fontId="122" fillId="44" borderId="83" xfId="58" applyNumberFormat="1" applyFont="1" applyFill="1" applyBorder="1" applyAlignment="1" applyProtection="1">
      <alignment horizontal="center" vertical="center"/>
      <protection/>
    </xf>
    <xf numFmtId="193" fontId="122" fillId="44" borderId="92" xfId="58" applyNumberFormat="1" applyFont="1" applyFill="1" applyBorder="1" applyAlignment="1" applyProtection="1">
      <alignment horizontal="center" vertical="center"/>
      <protection/>
    </xf>
    <xf numFmtId="193" fontId="122" fillId="44" borderId="51" xfId="58" applyNumberFormat="1" applyFont="1" applyFill="1" applyBorder="1" applyAlignment="1" applyProtection="1">
      <alignment horizontal="center" vertical="center"/>
      <protection/>
    </xf>
    <xf numFmtId="193" fontId="122" fillId="44" borderId="94" xfId="58" applyNumberFormat="1" applyFont="1" applyFill="1" applyBorder="1" applyAlignment="1" applyProtection="1">
      <alignment horizontal="center" vertical="center"/>
      <protection/>
    </xf>
    <xf numFmtId="193" fontId="122" fillId="44" borderId="53" xfId="58" applyNumberFormat="1" applyFont="1" applyFill="1" applyBorder="1" applyAlignment="1" applyProtection="1">
      <alignment horizontal="center" vertical="center"/>
      <protection/>
    </xf>
    <xf numFmtId="193" fontId="122" fillId="44" borderId="99" xfId="58" applyNumberFormat="1" applyFont="1" applyFill="1" applyBorder="1" applyAlignment="1" applyProtection="1">
      <alignment horizontal="center" vertical="center"/>
      <protection/>
    </xf>
    <xf numFmtId="193" fontId="122" fillId="44" borderId="56" xfId="58" applyNumberFormat="1" applyFont="1" applyFill="1" applyBorder="1" applyAlignment="1" applyProtection="1">
      <alignment horizontal="center" vertical="center"/>
      <protection/>
    </xf>
    <xf numFmtId="193" fontId="122" fillId="44" borderId="108" xfId="58" applyNumberFormat="1" applyFont="1" applyFill="1" applyBorder="1" applyAlignment="1" applyProtection="1">
      <alignment horizontal="center" vertical="center"/>
      <protection/>
    </xf>
    <xf numFmtId="193" fontId="122" fillId="44" borderId="98" xfId="58" applyNumberFormat="1" applyFont="1" applyFill="1" applyBorder="1" applyAlignment="1" applyProtection="1">
      <alignment horizontal="center" vertical="center"/>
      <protection/>
    </xf>
    <xf numFmtId="193" fontId="122" fillId="44" borderId="91" xfId="58" applyNumberFormat="1" applyFont="1" applyFill="1" applyBorder="1" applyAlignment="1" applyProtection="1">
      <alignment horizontal="center" vertical="center"/>
      <protection/>
    </xf>
    <xf numFmtId="193" fontId="122" fillId="44" borderId="57" xfId="58" applyNumberFormat="1" applyFont="1" applyFill="1" applyBorder="1" applyAlignment="1" applyProtection="1">
      <alignment horizontal="center" vertical="center"/>
      <protection/>
    </xf>
    <xf numFmtId="193" fontId="122" fillId="44" borderId="100" xfId="58" applyNumberFormat="1" applyFont="1" applyFill="1" applyBorder="1" applyAlignment="1" applyProtection="1">
      <alignment horizontal="center" vertical="center"/>
      <protection/>
    </xf>
    <xf numFmtId="0" fontId="29" fillId="42" borderId="23" xfId="58" applyFont="1" applyFill="1" applyBorder="1" applyAlignment="1">
      <alignment horizontal="center" vertical="center"/>
      <protection/>
    </xf>
    <xf numFmtId="0" fontId="187" fillId="42" borderId="23" xfId="58" applyFont="1" applyFill="1" applyBorder="1" applyAlignment="1" applyProtection="1">
      <alignment horizontal="center" vertical="center"/>
      <protection/>
    </xf>
    <xf numFmtId="0" fontId="30" fillId="35" borderId="33" xfId="0" applyFont="1" applyFill="1" applyBorder="1" applyAlignment="1" applyProtection="1">
      <alignment horizontal="center"/>
      <protection/>
    </xf>
    <xf numFmtId="0" fontId="38" fillId="45" borderId="157" xfId="0" applyFont="1" applyFill="1" applyBorder="1" applyAlignment="1" applyProtection="1" quotePrefix="1">
      <alignment horizontal="left"/>
      <protection/>
    </xf>
    <xf numFmtId="0" fontId="121" fillId="35" borderId="0" xfId="0" applyFont="1" applyFill="1" applyBorder="1" applyAlignment="1" applyProtection="1">
      <alignment horizontal="right"/>
      <protection/>
    </xf>
    <xf numFmtId="0" fontId="14" fillId="35" borderId="0" xfId="0" applyFont="1" applyFill="1" applyBorder="1" applyAlignment="1" applyProtection="1">
      <alignment horizontal="right" wrapText="1"/>
      <protection/>
    </xf>
    <xf numFmtId="0" fontId="29" fillId="42" borderId="23" xfId="58" applyFont="1" applyFill="1" applyBorder="1" applyAlignment="1" applyProtection="1">
      <alignment horizontal="center" vertical="center"/>
      <protection/>
    </xf>
    <xf numFmtId="3" fontId="14" fillId="37" borderId="23" xfId="58" applyNumberFormat="1" applyFont="1" applyFill="1" applyBorder="1" applyAlignment="1" applyProtection="1">
      <alignment horizontal="right" vertical="center"/>
      <protection/>
    </xf>
    <xf numFmtId="3" fontId="14" fillId="37" borderId="21" xfId="58" applyNumberFormat="1" applyFont="1" applyFill="1" applyBorder="1" applyAlignment="1" applyProtection="1">
      <alignment horizontal="right" vertical="center"/>
      <protection/>
    </xf>
    <xf numFmtId="3" fontId="94" fillId="42" borderId="33" xfId="58" applyNumberFormat="1" applyFont="1" applyFill="1" applyBorder="1" applyAlignment="1" applyProtection="1">
      <alignment horizontal="right" vertical="center"/>
      <protection locked="0"/>
    </xf>
    <xf numFmtId="3" fontId="9" fillId="35" borderId="117" xfId="58" applyNumberFormat="1" applyFont="1" applyFill="1" applyBorder="1" applyAlignment="1" applyProtection="1">
      <alignment horizontal="right" vertical="center"/>
      <protection locked="0"/>
    </xf>
    <xf numFmtId="3" fontId="9" fillId="35" borderId="119" xfId="58" applyNumberFormat="1" applyFont="1" applyFill="1" applyBorder="1" applyAlignment="1" applyProtection="1">
      <alignment horizontal="right" vertical="center"/>
      <protection locked="0"/>
    </xf>
    <xf numFmtId="3" fontId="9" fillId="35" borderId="121" xfId="58" applyNumberFormat="1" applyFont="1" applyFill="1" applyBorder="1" applyAlignment="1" applyProtection="1">
      <alignment horizontal="right" vertical="center"/>
      <protection locked="0"/>
    </xf>
    <xf numFmtId="3" fontId="9" fillId="35" borderId="18" xfId="58" applyNumberFormat="1" applyFont="1" applyFill="1" applyBorder="1" applyAlignment="1" applyProtection="1">
      <alignment horizontal="right" vertical="center"/>
      <protection locked="0"/>
    </xf>
    <xf numFmtId="3" fontId="9" fillId="35" borderId="123" xfId="58" applyNumberFormat="1" applyFont="1" applyFill="1" applyBorder="1" applyAlignment="1" applyProtection="1">
      <alignment horizontal="right" vertical="center"/>
      <protection locked="0"/>
    </xf>
    <xf numFmtId="3" fontId="9" fillId="42" borderId="33" xfId="58" applyNumberFormat="1" applyFont="1" applyFill="1" applyBorder="1" applyAlignment="1" applyProtection="1">
      <alignment horizontal="right" vertical="center"/>
      <protection locked="0"/>
    </xf>
    <xf numFmtId="3" fontId="122" fillId="44" borderId="78" xfId="58" applyNumberFormat="1" applyFont="1" applyFill="1" applyBorder="1" applyAlignment="1" applyProtection="1">
      <alignment vertical="center"/>
      <protection locked="0"/>
    </xf>
    <xf numFmtId="3" fontId="122" fillId="44" borderId="23" xfId="58" applyNumberFormat="1" applyFont="1" applyFill="1" applyBorder="1" applyAlignment="1" applyProtection="1">
      <alignment vertical="center"/>
      <protection locked="0"/>
    </xf>
    <xf numFmtId="3" fontId="122" fillId="44" borderId="21" xfId="58" applyNumberFormat="1" applyFont="1" applyFill="1" applyBorder="1" applyAlignment="1" applyProtection="1">
      <alignment vertical="center"/>
      <protection locked="0"/>
    </xf>
    <xf numFmtId="3" fontId="122" fillId="44" borderId="60" xfId="58" applyNumberFormat="1" applyFont="1" applyFill="1" applyBorder="1" applyAlignment="1">
      <alignment vertical="center"/>
      <protection/>
    </xf>
    <xf numFmtId="3" fontId="102" fillId="42" borderId="34" xfId="58" applyNumberFormat="1" applyFont="1" applyFill="1" applyBorder="1" applyAlignment="1" applyProtection="1">
      <alignment vertical="center"/>
      <protection/>
    </xf>
    <xf numFmtId="3" fontId="102" fillId="42" borderId="81" xfId="58" applyNumberFormat="1" applyFont="1" applyFill="1" applyBorder="1" applyAlignment="1" applyProtection="1">
      <alignment vertical="center"/>
      <protection/>
    </xf>
    <xf numFmtId="0" fontId="188" fillId="38" borderId="0" xfId="58" applyFont="1" applyFill="1" applyAlignment="1">
      <alignment vertical="center"/>
      <protection/>
    </xf>
    <xf numFmtId="0" fontId="23" fillId="33" borderId="0" xfId="58" applyFill="1">
      <alignment/>
      <protection/>
    </xf>
    <xf numFmtId="0" fontId="14" fillId="0" borderId="0" xfId="58" applyFont="1" applyAlignment="1">
      <alignment horizontal="right" vertical="center"/>
      <protection/>
    </xf>
    <xf numFmtId="1" fontId="94" fillId="43" borderId="60" xfId="58" applyNumberFormat="1" applyFont="1" applyFill="1" applyBorder="1" applyAlignment="1" applyProtection="1">
      <alignment horizontal="center" vertical="center" wrapText="1"/>
      <protection locked="0"/>
    </xf>
    <xf numFmtId="0" fontId="189" fillId="0" borderId="91" xfId="0" applyFont="1" applyFill="1" applyBorder="1" applyAlignment="1" applyProtection="1">
      <alignment horizontal="center" vertical="center" wrapText="1"/>
      <protection hidden="1"/>
    </xf>
    <xf numFmtId="0" fontId="7" fillId="35" borderId="81" xfId="58" applyFont="1" applyFill="1" applyBorder="1" applyAlignment="1" applyProtection="1">
      <alignment horizontal="center" vertical="center" wrapText="1"/>
      <protection hidden="1"/>
    </xf>
    <xf numFmtId="0" fontId="27" fillId="33" borderId="0" xfId="58" applyFont="1" applyFill="1" applyAlignment="1">
      <alignment vertical="center"/>
      <protection/>
    </xf>
    <xf numFmtId="3" fontId="6" fillId="35" borderId="59" xfId="58" applyNumberFormat="1" applyFont="1" applyFill="1" applyBorder="1" applyAlignment="1" applyProtection="1">
      <alignment horizontal="right" vertical="center"/>
      <protection locked="0"/>
    </xf>
    <xf numFmtId="0" fontId="27" fillId="33" borderId="0" xfId="58" applyFont="1" applyFill="1" applyAlignment="1">
      <alignment vertical="center"/>
      <protection/>
    </xf>
    <xf numFmtId="3" fontId="122" fillId="46" borderId="104" xfId="58" applyNumberFormat="1" applyFont="1" applyFill="1" applyBorder="1" applyAlignment="1">
      <alignment vertical="center"/>
      <protection/>
    </xf>
    <xf numFmtId="0" fontId="6" fillId="33" borderId="0" xfId="58" applyFont="1" applyFill="1" applyAlignment="1">
      <alignment vertical="center"/>
      <protection/>
    </xf>
    <xf numFmtId="0" fontId="6" fillId="49" borderId="0" xfId="58" applyFont="1" applyFill="1" applyAlignment="1">
      <alignment vertical="center"/>
      <protection/>
    </xf>
    <xf numFmtId="0" fontId="6" fillId="0" borderId="23" xfId="65" applyFont="1" applyBorder="1" applyAlignment="1">
      <alignment/>
      <protection/>
    </xf>
    <xf numFmtId="0" fontId="6" fillId="50" borderId="0" xfId="58" applyFont="1" applyFill="1" applyAlignment="1">
      <alignment vertical="center"/>
      <protection/>
    </xf>
    <xf numFmtId="0" fontId="38" fillId="42" borderId="158" xfId="0" applyFont="1" applyFill="1" applyBorder="1" applyAlignment="1" applyProtection="1" quotePrefix="1">
      <alignment horizontal="left"/>
      <protection/>
    </xf>
    <xf numFmtId="0" fontId="38" fillId="42" borderId="159" xfId="0" applyFont="1" applyFill="1" applyBorder="1" applyAlignment="1" applyProtection="1" quotePrefix="1">
      <alignment horizontal="left"/>
      <protection/>
    </xf>
    <xf numFmtId="0" fontId="38" fillId="42" borderId="152" xfId="0" applyFont="1" applyFill="1" applyBorder="1" applyAlignment="1" applyProtection="1" quotePrefix="1">
      <alignment horizontal="left"/>
      <protection/>
    </xf>
    <xf numFmtId="0" fontId="37" fillId="42" borderId="0" xfId="61" applyFont="1" applyFill="1" applyBorder="1" applyProtection="1">
      <alignment/>
      <protection/>
    </xf>
    <xf numFmtId="0" fontId="101" fillId="42" borderId="0" xfId="58" applyFont="1" applyFill="1" applyAlignment="1" applyProtection="1" quotePrefix="1">
      <alignment vertical="center"/>
      <protection/>
    </xf>
    <xf numFmtId="0" fontId="37" fillId="42" borderId="0" xfId="61" applyFont="1" applyFill="1" applyProtection="1">
      <alignment/>
      <protection/>
    </xf>
    <xf numFmtId="0" fontId="190" fillId="42" borderId="0" xfId="64" applyFont="1" applyFill="1" applyProtection="1">
      <alignment/>
      <protection/>
    </xf>
    <xf numFmtId="0" fontId="154" fillId="42" borderId="0" xfId="61" applyFont="1" applyFill="1" applyAlignment="1" applyProtection="1">
      <alignment horizontal="center" vertical="center"/>
      <protection/>
    </xf>
    <xf numFmtId="0" fontId="191" fillId="42" borderId="0" xfId="70" applyFont="1" applyFill="1" applyBorder="1" applyAlignment="1" applyProtection="1">
      <alignment horizontal="left"/>
      <protection/>
    </xf>
    <xf numFmtId="0" fontId="101" fillId="51" borderId="0" xfId="70" applyFont="1" applyFill="1" applyAlignment="1" applyProtection="1">
      <alignment horizontal="left"/>
      <protection/>
    </xf>
    <xf numFmtId="0" fontId="82" fillId="42" borderId="0" xfId="61" applyFont="1" applyFill="1" applyBorder="1" applyProtection="1">
      <alignment/>
      <protection/>
    </xf>
    <xf numFmtId="0" fontId="37" fillId="44" borderId="0" xfId="61" applyFont="1" applyFill="1" applyBorder="1" applyProtection="1">
      <alignment/>
      <protection/>
    </xf>
    <xf numFmtId="0" fontId="82" fillId="44" borderId="0" xfId="61" applyFont="1" applyFill="1" applyBorder="1" applyProtection="1">
      <alignment/>
      <protection/>
    </xf>
    <xf numFmtId="0" fontId="82" fillId="42" borderId="0" xfId="61" applyFont="1" applyFill="1" applyAlignment="1" applyProtection="1">
      <alignment horizontal="right"/>
      <protection/>
    </xf>
    <xf numFmtId="0" fontId="26" fillId="42" borderId="0" xfId="64" applyFont="1" applyFill="1" applyBorder="1" applyAlignment="1" applyProtection="1">
      <alignment horizontal="center"/>
      <protection/>
    </xf>
    <xf numFmtId="0" fontId="26" fillId="42" borderId="0" xfId="64" applyFont="1" applyFill="1" applyProtection="1">
      <alignment/>
      <protection/>
    </xf>
    <xf numFmtId="0" fontId="26" fillId="44" borderId="0" xfId="64" applyFont="1" applyFill="1" applyProtection="1">
      <alignment/>
      <protection/>
    </xf>
    <xf numFmtId="0" fontId="15" fillId="42" borderId="0" xfId="58" applyFont="1" applyFill="1" applyAlignment="1" applyProtection="1" quotePrefix="1">
      <alignment vertical="center"/>
      <protection/>
    </xf>
    <xf numFmtId="0" fontId="82" fillId="42" borderId="0" xfId="61" applyFont="1" applyFill="1" applyAlignment="1" applyProtection="1" quotePrefix="1">
      <alignment horizontal="left"/>
      <protection/>
    </xf>
    <xf numFmtId="192" fontId="158" fillId="35" borderId="23" xfId="70" applyNumberFormat="1" applyFont="1" applyFill="1" applyBorder="1" applyAlignment="1" applyProtection="1">
      <alignment horizontal="center" vertical="center"/>
      <protection/>
    </xf>
    <xf numFmtId="0" fontId="192" fillId="42" borderId="0" xfId="70" applyFont="1" applyFill="1" applyBorder="1" applyAlignment="1" applyProtection="1">
      <alignment horizontal="left"/>
      <protection/>
    </xf>
    <xf numFmtId="0" fontId="30" fillId="44" borderId="0" xfId="61" applyFont="1" applyFill="1" applyBorder="1" applyProtection="1">
      <alignment/>
      <protection/>
    </xf>
    <xf numFmtId="0" fontId="30" fillId="42" borderId="0" xfId="61" applyFont="1" applyFill="1" applyBorder="1" applyProtection="1">
      <alignment/>
      <protection/>
    </xf>
    <xf numFmtId="0" fontId="40" fillId="42" borderId="24" xfId="61" applyFont="1" applyFill="1" applyBorder="1" applyProtection="1">
      <alignment/>
      <protection/>
    </xf>
    <xf numFmtId="184" fontId="40" fillId="42" borderId="0" xfId="61" applyNumberFormat="1" applyFont="1" applyFill="1" applyBorder="1" applyProtection="1">
      <alignment/>
      <protection/>
    </xf>
    <xf numFmtId="184" fontId="40" fillId="42" borderId="0" xfId="61" applyNumberFormat="1" applyFont="1" applyFill="1" applyBorder="1" applyAlignment="1" applyProtection="1">
      <alignment horizontal="left"/>
      <protection/>
    </xf>
    <xf numFmtId="201" fontId="40" fillId="35" borderId="19" xfId="61" applyNumberFormat="1" applyFont="1" applyFill="1" applyBorder="1" applyAlignment="1" applyProtection="1" quotePrefix="1">
      <alignment horizontal="center"/>
      <protection/>
    </xf>
    <xf numFmtId="201" fontId="40" fillId="35" borderId="133" xfId="61" applyNumberFormat="1" applyFont="1" applyFill="1" applyBorder="1" applyAlignment="1" applyProtection="1" quotePrefix="1">
      <alignment horizontal="center"/>
      <protection/>
    </xf>
    <xf numFmtId="201" fontId="40" fillId="35" borderId="134" xfId="61" applyNumberFormat="1" applyFont="1" applyFill="1" applyBorder="1" applyAlignment="1" applyProtection="1" quotePrefix="1">
      <alignment horizontal="center"/>
      <protection/>
    </xf>
    <xf numFmtId="201" fontId="180" fillId="45" borderId="16" xfId="61" applyNumberFormat="1" applyFont="1" applyFill="1" applyBorder="1" applyAlignment="1" applyProtection="1" quotePrefix="1">
      <alignment horizontal="center" wrapText="1"/>
      <protection/>
    </xf>
    <xf numFmtId="201" fontId="193" fillId="45" borderId="16" xfId="61" applyNumberFormat="1" applyFont="1" applyFill="1" applyBorder="1" applyAlignment="1" applyProtection="1" quotePrefix="1">
      <alignment horizontal="center" vertical="center" wrapText="1"/>
      <protection/>
    </xf>
    <xf numFmtId="201" fontId="151" fillId="42" borderId="16" xfId="61" applyNumberFormat="1" applyFont="1" applyFill="1" applyBorder="1" applyAlignment="1" applyProtection="1" quotePrefix="1">
      <alignment horizontal="center" vertical="center" wrapText="1"/>
      <protection/>
    </xf>
    <xf numFmtId="201" fontId="155" fillId="46" borderId="16" xfId="61" applyNumberFormat="1" applyFont="1" applyFill="1" applyBorder="1" applyAlignment="1" applyProtection="1" quotePrefix="1">
      <alignment horizontal="center" wrapText="1"/>
      <protection/>
    </xf>
    <xf numFmtId="201" fontId="40" fillId="35" borderId="160" xfId="61" applyNumberFormat="1" applyFont="1" applyFill="1" applyBorder="1" applyAlignment="1" applyProtection="1" quotePrefix="1">
      <alignment horizontal="center" wrapText="1"/>
      <protection/>
    </xf>
    <xf numFmtId="184" fontId="40" fillId="42" borderId="17" xfId="61" applyNumberFormat="1" applyFont="1" applyFill="1" applyBorder="1" applyAlignment="1" applyProtection="1">
      <alignment horizontal="center" vertical="center" wrapText="1"/>
      <protection/>
    </xf>
    <xf numFmtId="0" fontId="38" fillId="35" borderId="13" xfId="61" applyFont="1" applyFill="1" applyBorder="1" applyAlignment="1" applyProtection="1" quotePrefix="1">
      <alignment horizontal="left" vertical="top"/>
      <protection/>
    </xf>
    <xf numFmtId="0" fontId="38" fillId="35" borderId="24" xfId="61" applyFont="1" applyFill="1" applyBorder="1" applyAlignment="1" applyProtection="1" quotePrefix="1">
      <alignment horizontal="center" vertical="top"/>
      <protection/>
    </xf>
    <xf numFmtId="0" fontId="38" fillId="35" borderId="31" xfId="61" applyFont="1" applyFill="1" applyBorder="1" applyAlignment="1" applyProtection="1" quotePrefix="1">
      <alignment horizontal="center" vertical="top"/>
      <protection/>
    </xf>
    <xf numFmtId="202" fontId="180" fillId="45" borderId="30" xfId="61" applyNumberFormat="1" applyFont="1" applyFill="1" applyBorder="1" applyAlignment="1" applyProtection="1" quotePrefix="1">
      <alignment horizontal="center"/>
      <protection/>
    </xf>
    <xf numFmtId="202" fontId="154" fillId="42" borderId="30" xfId="61" applyNumberFormat="1" applyFont="1" applyFill="1" applyBorder="1" applyAlignment="1" applyProtection="1" quotePrefix="1">
      <alignment horizontal="center"/>
      <protection/>
    </xf>
    <xf numFmtId="0" fontId="40" fillId="42" borderId="17" xfId="61" applyFont="1" applyFill="1" applyBorder="1" applyAlignment="1" applyProtection="1">
      <alignment horizontal="center"/>
      <protection/>
    </xf>
    <xf numFmtId="0" fontId="30" fillId="42" borderId="0" xfId="61" applyFont="1" applyFill="1" applyProtection="1">
      <alignment/>
      <protection/>
    </xf>
    <xf numFmtId="0" fontId="30" fillId="35" borderId="50" xfId="61" applyFont="1" applyFill="1" applyBorder="1" applyAlignment="1" applyProtection="1">
      <alignment horizontal="left"/>
      <protection/>
    </xf>
    <xf numFmtId="0" fontId="30" fillId="35" borderId="0" xfId="61" applyFont="1" applyFill="1" applyBorder="1" applyAlignment="1" applyProtection="1">
      <alignment horizontal="center"/>
      <protection/>
    </xf>
    <xf numFmtId="0" fontId="30" fillId="35" borderId="22" xfId="61" applyFont="1" applyFill="1" applyBorder="1" applyAlignment="1" applyProtection="1">
      <alignment horizontal="center"/>
      <protection/>
    </xf>
    <xf numFmtId="0" fontId="30" fillId="35" borderId="33" xfId="61" applyFont="1" applyFill="1" applyBorder="1" applyAlignment="1" applyProtection="1" quotePrefix="1">
      <alignment horizontal="center"/>
      <protection/>
    </xf>
    <xf numFmtId="0" fontId="40" fillId="35" borderId="33" xfId="61" applyFont="1" applyFill="1" applyBorder="1" applyAlignment="1" applyProtection="1" quotePrefix="1">
      <alignment horizontal="center"/>
      <protection/>
    </xf>
    <xf numFmtId="0" fontId="40" fillId="35" borderId="161" xfId="61" applyFont="1" applyFill="1" applyBorder="1" applyAlignment="1" applyProtection="1" quotePrefix="1">
      <alignment horizontal="center"/>
      <protection/>
    </xf>
    <xf numFmtId="0" fontId="37" fillId="42" borderId="17" xfId="61" applyFont="1" applyFill="1" applyBorder="1" applyProtection="1">
      <alignment/>
      <protection/>
    </xf>
    <xf numFmtId="0" fontId="194" fillId="42" borderId="0" xfId="61" applyFont="1" applyFill="1" applyBorder="1" applyProtection="1">
      <alignment/>
      <protection/>
    </xf>
    <xf numFmtId="38" fontId="112" fillId="35" borderId="0" xfId="71" applyNumberFormat="1" applyFont="1" applyFill="1" applyBorder="1" applyAlignment="1" applyProtection="1">
      <alignment/>
      <protection/>
    </xf>
    <xf numFmtId="38" fontId="112" fillId="35" borderId="22" xfId="71" applyNumberFormat="1" applyFont="1" applyFill="1" applyBorder="1" applyAlignment="1" applyProtection="1">
      <alignment/>
      <protection/>
    </xf>
    <xf numFmtId="195" fontId="82" fillId="42" borderId="0" xfId="61" applyNumberFormat="1" applyFont="1" applyFill="1" applyAlignment="1" applyProtection="1">
      <alignment horizontal="right"/>
      <protection/>
    </xf>
    <xf numFmtId="1" fontId="40" fillId="42" borderId="0" xfId="61" applyNumberFormat="1" applyFont="1" applyFill="1" applyBorder="1" applyAlignment="1" applyProtection="1">
      <alignment horizontal="right"/>
      <protection/>
    </xf>
    <xf numFmtId="38" fontId="9" fillId="35" borderId="126" xfId="71" applyNumberFormat="1" applyFont="1" applyFill="1" applyBorder="1" applyAlignment="1" applyProtection="1">
      <alignment/>
      <protection/>
    </xf>
    <xf numFmtId="38" fontId="9" fillId="35" borderId="44" xfId="71" applyNumberFormat="1" applyFont="1" applyFill="1" applyBorder="1" applyAlignment="1" applyProtection="1">
      <alignment/>
      <protection/>
    </xf>
    <xf numFmtId="38" fontId="6" fillId="35" borderId="54" xfId="71" applyNumberFormat="1" applyFont="1" applyFill="1" applyBorder="1" applyAlignment="1" applyProtection="1">
      <alignment/>
      <protection/>
    </xf>
    <xf numFmtId="38" fontId="6" fillId="35" borderId="40" xfId="71" applyNumberFormat="1" applyFont="1" applyFill="1" applyBorder="1" applyAlignment="1" applyProtection="1">
      <alignment/>
      <protection/>
    </xf>
    <xf numFmtId="38" fontId="6" fillId="35" borderId="61" xfId="71" applyNumberFormat="1" applyFont="1" applyFill="1" applyBorder="1" applyAlignment="1" applyProtection="1">
      <alignment/>
      <protection/>
    </xf>
    <xf numFmtId="38" fontId="6" fillId="35" borderId="65" xfId="71" applyNumberFormat="1" applyFont="1" applyFill="1" applyBorder="1" applyAlignment="1" applyProtection="1">
      <alignment/>
      <protection/>
    </xf>
    <xf numFmtId="38" fontId="9" fillId="42" borderId="45" xfId="71" applyNumberFormat="1" applyFont="1" applyFill="1" applyBorder="1" applyAlignment="1" applyProtection="1">
      <alignment/>
      <protection/>
    </xf>
    <xf numFmtId="38" fontId="9" fillId="42" borderId="59" xfId="71" applyNumberFormat="1" applyFont="1" applyFill="1" applyBorder="1" applyAlignment="1" applyProtection="1">
      <alignment/>
      <protection/>
    </xf>
    <xf numFmtId="38" fontId="9" fillId="42" borderId="81" xfId="71" applyNumberFormat="1" applyFont="1" applyFill="1" applyBorder="1" applyAlignment="1" applyProtection="1">
      <alignment/>
      <protection/>
    </xf>
    <xf numFmtId="38" fontId="9" fillId="35" borderId="0" xfId="71" applyNumberFormat="1" applyFont="1" applyFill="1" applyBorder="1" applyAlignment="1" applyProtection="1">
      <alignment/>
      <protection/>
    </xf>
    <xf numFmtId="38" fontId="9" fillId="35" borderId="22" xfId="71" applyNumberFormat="1" applyFont="1" applyFill="1" applyBorder="1" applyAlignment="1" applyProtection="1">
      <alignment/>
      <protection/>
    </xf>
    <xf numFmtId="38" fontId="6" fillId="35" borderId="126" xfId="71" applyNumberFormat="1" applyFont="1" applyFill="1" applyBorder="1" applyAlignment="1" applyProtection="1">
      <alignment/>
      <protection/>
    </xf>
    <xf numFmtId="38" fontId="6" fillId="35" borderId="44" xfId="71" applyNumberFormat="1" applyFont="1" applyFill="1" applyBorder="1" applyAlignment="1" applyProtection="1">
      <alignment/>
      <protection/>
    </xf>
    <xf numFmtId="0" fontId="30" fillId="35" borderId="135" xfId="61" applyFont="1" applyFill="1" applyBorder="1" applyAlignment="1" applyProtection="1">
      <alignment horizontal="left"/>
      <protection/>
    </xf>
    <xf numFmtId="0" fontId="30" fillId="35" borderId="69" xfId="61" applyFont="1" applyFill="1" applyBorder="1" applyAlignment="1" applyProtection="1">
      <alignment horizontal="left"/>
      <protection/>
    </xf>
    <xf numFmtId="0" fontId="30" fillId="35" borderId="70" xfId="61" applyFont="1" applyFill="1" applyBorder="1" applyAlignment="1" applyProtection="1">
      <alignment horizontal="left"/>
      <protection/>
    </xf>
    <xf numFmtId="38" fontId="9" fillId="44" borderId="0" xfId="71" applyNumberFormat="1" applyFont="1" applyFill="1" applyBorder="1" applyAlignment="1" applyProtection="1">
      <alignment/>
      <protection/>
    </xf>
    <xf numFmtId="38" fontId="9" fillId="44" borderId="22" xfId="71" applyNumberFormat="1" applyFont="1" applyFill="1" applyBorder="1" applyAlignment="1" applyProtection="1">
      <alignment/>
      <protection/>
    </xf>
    <xf numFmtId="38" fontId="6" fillId="44" borderId="0" xfId="71" applyNumberFormat="1" applyFont="1" applyFill="1" applyBorder="1" applyAlignment="1" applyProtection="1">
      <alignment/>
      <protection/>
    </xf>
    <xf numFmtId="38" fontId="6" fillId="44" borderId="22" xfId="71" applyNumberFormat="1" applyFont="1" applyFill="1" applyBorder="1" applyAlignment="1" applyProtection="1">
      <alignment/>
      <protection/>
    </xf>
    <xf numFmtId="38" fontId="12" fillId="44" borderId="52" xfId="71" applyNumberFormat="1" applyFont="1" applyFill="1" applyBorder="1" applyAlignment="1" applyProtection="1">
      <alignment/>
      <protection/>
    </xf>
    <xf numFmtId="38" fontId="12" fillId="44" borderId="115" xfId="71" applyNumberFormat="1" applyFont="1" applyFill="1" applyBorder="1" applyAlignment="1" applyProtection="1">
      <alignment/>
      <protection/>
    </xf>
    <xf numFmtId="38" fontId="12" fillId="44" borderId="54" xfId="71" applyNumberFormat="1" applyFont="1" applyFill="1" applyBorder="1" applyAlignment="1" applyProtection="1">
      <alignment/>
      <protection/>
    </xf>
    <xf numFmtId="38" fontId="12" fillId="44" borderId="40" xfId="71" applyNumberFormat="1" applyFont="1" applyFill="1" applyBorder="1" applyAlignment="1" applyProtection="1">
      <alignment/>
      <protection/>
    </xf>
    <xf numFmtId="38" fontId="12" fillId="44" borderId="61" xfId="71" applyNumberFormat="1" applyFont="1" applyFill="1" applyBorder="1" applyAlignment="1" applyProtection="1">
      <alignment/>
      <protection/>
    </xf>
    <xf numFmtId="38" fontId="12" fillId="44" borderId="65" xfId="71" applyNumberFormat="1" applyFont="1" applyFill="1" applyBorder="1" applyAlignment="1" applyProtection="1">
      <alignment/>
      <protection/>
    </xf>
    <xf numFmtId="0" fontId="30" fillId="35" borderId="45" xfId="61" applyFont="1" applyFill="1" applyBorder="1" applyAlignment="1" applyProtection="1">
      <alignment horizontal="left"/>
      <protection/>
    </xf>
    <xf numFmtId="0" fontId="30" fillId="35" borderId="59" xfId="61" applyFont="1" applyFill="1" applyBorder="1" applyAlignment="1" applyProtection="1">
      <alignment horizontal="left"/>
      <protection/>
    </xf>
    <xf numFmtId="0" fontId="30" fillId="35" borderId="22" xfId="61" applyFont="1" applyFill="1" applyBorder="1" applyAlignment="1" applyProtection="1">
      <alignment horizontal="left"/>
      <protection/>
    </xf>
    <xf numFmtId="0" fontId="30" fillId="35" borderId="132" xfId="61" applyFont="1" applyFill="1" applyBorder="1" applyAlignment="1" applyProtection="1">
      <alignment horizontal="left"/>
      <protection/>
    </xf>
    <xf numFmtId="0" fontId="40" fillId="45" borderId="162" xfId="61" applyFont="1" applyFill="1" applyBorder="1" applyAlignment="1" applyProtection="1">
      <alignment horizontal="left"/>
      <protection/>
    </xf>
    <xf numFmtId="0" fontId="40" fillId="45" borderId="163" xfId="61" applyFont="1" applyFill="1" applyBorder="1" applyAlignment="1" applyProtection="1">
      <alignment horizontal="left"/>
      <protection/>
    </xf>
    <xf numFmtId="0" fontId="82" fillId="42" borderId="0" xfId="61" applyFont="1" applyFill="1" applyBorder="1" applyAlignment="1" applyProtection="1">
      <alignment horizontal="right"/>
      <protection/>
    </xf>
    <xf numFmtId="38" fontId="9" fillId="42" borderId="45" xfId="71" applyNumberFormat="1" applyFont="1" applyFill="1" applyBorder="1" applyAlignment="1" applyProtection="1">
      <alignment/>
      <protection/>
    </xf>
    <xf numFmtId="38" fontId="9" fillId="42" borderId="59" xfId="71" applyNumberFormat="1" applyFont="1" applyFill="1" applyBorder="1" applyAlignment="1" applyProtection="1">
      <alignment/>
      <protection/>
    </xf>
    <xf numFmtId="38" fontId="9" fillId="42" borderId="81" xfId="71" applyNumberFormat="1" applyFont="1" applyFill="1" applyBorder="1" applyAlignment="1" applyProtection="1">
      <alignment/>
      <protection/>
    </xf>
    <xf numFmtId="38" fontId="12" fillId="44" borderId="59" xfId="71" applyNumberFormat="1" applyFont="1" applyFill="1" applyBorder="1" applyAlignment="1" applyProtection="1">
      <alignment/>
      <protection/>
    </xf>
    <xf numFmtId="38" fontId="12" fillId="44" borderId="81" xfId="71" applyNumberFormat="1" applyFont="1" applyFill="1" applyBorder="1" applyAlignment="1" applyProtection="1">
      <alignment/>
      <protection/>
    </xf>
    <xf numFmtId="38" fontId="9" fillId="35" borderId="132" xfId="71" applyNumberFormat="1" applyFont="1" applyFill="1" applyBorder="1" applyAlignment="1" applyProtection="1">
      <alignment/>
      <protection/>
    </xf>
    <xf numFmtId="38" fontId="9" fillId="35" borderId="69" xfId="71" applyNumberFormat="1" applyFont="1" applyFill="1" applyBorder="1" applyAlignment="1" applyProtection="1">
      <alignment/>
      <protection/>
    </xf>
    <xf numFmtId="38" fontId="9" fillId="35" borderId="70" xfId="71" applyNumberFormat="1" applyFont="1" applyFill="1" applyBorder="1" applyAlignment="1" applyProtection="1">
      <alignment/>
      <protection/>
    </xf>
    <xf numFmtId="0" fontId="40" fillId="45" borderId="162" xfId="61" applyFont="1" applyFill="1" applyBorder="1" applyAlignment="1" applyProtection="1" quotePrefix="1">
      <alignment horizontal="left"/>
      <protection/>
    </xf>
    <xf numFmtId="0" fontId="40" fillId="45" borderId="163" xfId="61" applyFont="1" applyFill="1" applyBorder="1" applyAlignment="1" applyProtection="1" quotePrefix="1">
      <alignment horizontal="left"/>
      <protection/>
    </xf>
    <xf numFmtId="184" fontId="30" fillId="42" borderId="0" xfId="61" applyNumberFormat="1" applyFont="1" applyFill="1" applyProtection="1">
      <alignment/>
      <protection/>
    </xf>
    <xf numFmtId="184" fontId="30" fillId="44" borderId="0" xfId="61" applyNumberFormat="1" applyFont="1" applyFill="1" applyBorder="1" applyProtection="1">
      <alignment/>
      <protection/>
    </xf>
    <xf numFmtId="184" fontId="40" fillId="44" borderId="0" xfId="61" applyNumberFormat="1" applyFont="1" applyFill="1" applyBorder="1" applyProtection="1">
      <alignment/>
      <protection/>
    </xf>
    <xf numFmtId="0" fontId="40" fillId="44" borderId="162" xfId="61" applyFont="1" applyFill="1" applyBorder="1" applyAlignment="1" applyProtection="1">
      <alignment horizontal="left"/>
      <protection/>
    </xf>
    <xf numFmtId="0" fontId="40" fillId="44" borderId="163" xfId="61" applyFont="1" applyFill="1" applyBorder="1" applyAlignment="1" applyProtection="1">
      <alignment horizontal="left"/>
      <protection/>
    </xf>
    <xf numFmtId="195" fontId="165" fillId="35" borderId="18" xfId="61" applyNumberFormat="1" applyFont="1" applyFill="1" applyBorder="1" applyAlignment="1" applyProtection="1" quotePrefix="1">
      <alignment/>
      <protection/>
    </xf>
    <xf numFmtId="195" fontId="164" fillId="35" borderId="18" xfId="61" applyNumberFormat="1" applyFont="1" applyFill="1" applyBorder="1" applyAlignment="1" applyProtection="1" quotePrefix="1">
      <alignment/>
      <protection/>
    </xf>
    <xf numFmtId="195" fontId="164" fillId="35" borderId="164" xfId="61" applyNumberFormat="1" applyFont="1" applyFill="1" applyBorder="1" applyAlignment="1" applyProtection="1" quotePrefix="1">
      <alignment/>
      <protection/>
    </xf>
    <xf numFmtId="0" fontId="38" fillId="45" borderId="165" xfId="61" applyFont="1" applyFill="1" applyBorder="1" applyAlignment="1" applyProtection="1">
      <alignment horizontal="left"/>
      <protection/>
    </xf>
    <xf numFmtId="0" fontId="38" fillId="45" borderId="166" xfId="61" applyFont="1" applyFill="1" applyBorder="1" applyAlignment="1" applyProtection="1">
      <alignment horizontal="left"/>
      <protection/>
    </xf>
    <xf numFmtId="195" fontId="38" fillId="45" borderId="149" xfId="61" applyNumberFormat="1" applyFont="1" applyFill="1" applyBorder="1" applyAlignment="1" applyProtection="1">
      <alignment horizontal="left"/>
      <protection/>
    </xf>
    <xf numFmtId="195" fontId="38" fillId="45" borderId="88" xfId="61" applyNumberFormat="1" applyFont="1" applyFill="1" applyBorder="1" applyAlignment="1" applyProtection="1">
      <alignment horizontal="left"/>
      <protection/>
    </xf>
    <xf numFmtId="38" fontId="6" fillId="35" borderId="77" xfId="71" applyNumberFormat="1" applyFont="1" applyFill="1" applyBorder="1" applyAlignment="1" applyProtection="1">
      <alignment/>
      <protection/>
    </xf>
    <xf numFmtId="38" fontId="6" fillId="35" borderId="82" xfId="71" applyNumberFormat="1" applyFont="1" applyFill="1" applyBorder="1" applyAlignment="1" applyProtection="1">
      <alignment/>
      <protection/>
    </xf>
    <xf numFmtId="38" fontId="6" fillId="46" borderId="64" xfId="71" applyNumberFormat="1" applyFont="1" applyFill="1" applyBorder="1" applyAlignment="1" applyProtection="1">
      <alignment/>
      <protection/>
    </xf>
    <xf numFmtId="38" fontId="6" fillId="46" borderId="116" xfId="71" applyNumberFormat="1" applyFont="1" applyFill="1" applyBorder="1" applyAlignment="1" applyProtection="1">
      <alignment/>
      <protection/>
    </xf>
    <xf numFmtId="38" fontId="6" fillId="35" borderId="64" xfId="71" applyNumberFormat="1" applyFont="1" applyFill="1" applyBorder="1" applyAlignment="1" applyProtection="1">
      <alignment/>
      <protection/>
    </xf>
    <xf numFmtId="38" fontId="6" fillId="35" borderId="116" xfId="71" applyNumberFormat="1" applyFont="1" applyFill="1" applyBorder="1" applyAlignment="1" applyProtection="1">
      <alignment/>
      <protection/>
    </xf>
    <xf numFmtId="0" fontId="40" fillId="35" borderId="149" xfId="61" applyFont="1" applyFill="1" applyBorder="1" applyAlignment="1" applyProtection="1">
      <alignment horizontal="left"/>
      <protection/>
    </xf>
    <xf numFmtId="0" fontId="40" fillId="35" borderId="88" xfId="61" applyFont="1" applyFill="1" applyBorder="1" applyAlignment="1" applyProtection="1">
      <alignment horizontal="left"/>
      <protection/>
    </xf>
    <xf numFmtId="195" fontId="164" fillId="42" borderId="133" xfId="61" applyNumberFormat="1" applyFont="1" applyFill="1" applyBorder="1" applyAlignment="1" applyProtection="1" quotePrefix="1">
      <alignment/>
      <protection/>
    </xf>
    <xf numFmtId="195" fontId="164" fillId="42" borderId="151" xfId="61" applyNumberFormat="1" applyFont="1" applyFill="1" applyBorder="1" applyAlignment="1" applyProtection="1" quotePrefix="1">
      <alignment/>
      <protection/>
    </xf>
    <xf numFmtId="3" fontId="30" fillId="42" borderId="0" xfId="61" applyNumberFormat="1" applyFont="1" applyFill="1" applyBorder="1" applyProtection="1">
      <alignment/>
      <protection/>
    </xf>
    <xf numFmtId="0" fontId="126" fillId="42" borderId="0" xfId="70" applyFont="1" applyFill="1" applyAlignment="1" applyProtection="1">
      <alignment horizontal="right"/>
      <protection/>
    </xf>
    <xf numFmtId="0" fontId="9" fillId="42" borderId="0" xfId="70" applyFont="1" applyFill="1" applyProtection="1">
      <alignment/>
      <protection/>
    </xf>
    <xf numFmtId="0" fontId="6" fillId="42" borderId="0" xfId="58" applyFont="1" applyFill="1" applyBorder="1" applyAlignment="1" applyProtection="1">
      <alignment horizontal="left" vertical="center"/>
      <protection/>
    </xf>
    <xf numFmtId="0" fontId="37" fillId="44" borderId="0" xfId="61" applyFont="1" applyFill="1" applyProtection="1">
      <alignment/>
      <protection/>
    </xf>
    <xf numFmtId="1" fontId="40" fillId="42" borderId="0" xfId="61" applyNumberFormat="1" applyFont="1" applyFill="1" applyBorder="1" applyAlignment="1" applyProtection="1">
      <alignment horizontal="center"/>
      <protection/>
    </xf>
    <xf numFmtId="0" fontId="82" fillId="44" borderId="0" xfId="61" applyFont="1" applyFill="1" applyProtection="1">
      <alignment/>
      <protection/>
    </xf>
    <xf numFmtId="0" fontId="127" fillId="35" borderId="32" xfId="70" applyFont="1" applyFill="1" applyBorder="1" applyProtection="1">
      <alignment/>
      <protection/>
    </xf>
    <xf numFmtId="0" fontId="127" fillId="35" borderId="72" xfId="70" applyFont="1" applyFill="1" applyBorder="1" applyProtection="1">
      <alignment/>
      <protection/>
    </xf>
    <xf numFmtId="0" fontId="127" fillId="35" borderId="73" xfId="70" applyFont="1" applyFill="1" applyBorder="1" applyProtection="1">
      <alignment/>
      <protection/>
    </xf>
    <xf numFmtId="196" fontId="6" fillId="52" borderId="0" xfId="71" applyNumberFormat="1" applyFont="1" applyFill="1" applyAlignment="1" applyProtection="1">
      <alignment/>
      <protection/>
    </xf>
    <xf numFmtId="196" fontId="122" fillId="38" borderId="167" xfId="61" applyNumberFormat="1" applyFont="1" applyFill="1" applyBorder="1" applyAlignment="1" applyProtection="1">
      <alignment horizontal="center"/>
      <protection/>
    </xf>
    <xf numFmtId="196" fontId="91" fillId="38" borderId="168" xfId="61" applyNumberFormat="1" applyFont="1" applyFill="1" applyBorder="1" applyAlignment="1" applyProtection="1">
      <alignment horizontal="center"/>
      <protection/>
    </xf>
    <xf numFmtId="196" fontId="26" fillId="52" borderId="0" xfId="70" applyNumberFormat="1" applyFont="1" applyFill="1" applyProtection="1">
      <alignment/>
      <protection/>
    </xf>
    <xf numFmtId="196" fontId="91" fillId="46" borderId="169" xfId="61" applyNumberFormat="1" applyFont="1" applyFill="1" applyBorder="1" applyAlignment="1" applyProtection="1">
      <alignment horizontal="center"/>
      <protection/>
    </xf>
    <xf numFmtId="196" fontId="82" fillId="44" borderId="0" xfId="61" applyNumberFormat="1" applyFont="1" applyFill="1" applyProtection="1">
      <alignment/>
      <protection/>
    </xf>
    <xf numFmtId="196" fontId="9" fillId="35" borderId="170" xfId="61" applyNumberFormat="1" applyFont="1" applyFill="1" applyBorder="1" applyAlignment="1" applyProtection="1">
      <alignment horizontal="center"/>
      <protection/>
    </xf>
    <xf numFmtId="0" fontId="127" fillId="35" borderId="36" xfId="70" applyFont="1" applyFill="1" applyBorder="1" applyProtection="1">
      <alignment/>
      <protection/>
    </xf>
    <xf numFmtId="0" fontId="127" fillId="35" borderId="162" xfId="70" applyFont="1" applyFill="1" applyBorder="1" applyProtection="1">
      <alignment/>
      <protection/>
    </xf>
    <xf numFmtId="0" fontId="127" fillId="35" borderId="163" xfId="70" applyFont="1" applyFill="1" applyBorder="1" applyProtection="1">
      <alignment/>
      <protection/>
    </xf>
    <xf numFmtId="196" fontId="122" fillId="38" borderId="171" xfId="61" applyNumberFormat="1" applyFont="1" applyFill="1" applyBorder="1" applyAlignment="1" applyProtection="1">
      <alignment horizontal="center"/>
      <protection/>
    </xf>
    <xf numFmtId="196" fontId="91" fillId="38" borderId="172" xfId="61" applyNumberFormat="1" applyFont="1" applyFill="1" applyBorder="1" applyAlignment="1" applyProtection="1">
      <alignment horizontal="center"/>
      <protection/>
    </xf>
    <xf numFmtId="196" fontId="91" fillId="46" borderId="173" xfId="61" applyNumberFormat="1" applyFont="1" applyFill="1" applyBorder="1" applyAlignment="1" applyProtection="1">
      <alignment horizontal="center"/>
      <protection/>
    </xf>
    <xf numFmtId="196" fontId="14" fillId="35" borderId="174" xfId="61" applyNumberFormat="1" applyFont="1" applyFill="1" applyBorder="1" applyAlignment="1" applyProtection="1">
      <alignment horizontal="center"/>
      <protection/>
    </xf>
    <xf numFmtId="196" fontId="37" fillId="44" borderId="0" xfId="61" applyNumberFormat="1" applyFont="1" applyFill="1" applyProtection="1">
      <alignment/>
      <protection/>
    </xf>
    <xf numFmtId="196" fontId="195" fillId="45" borderId="167" xfId="61" applyNumberFormat="1" applyFont="1" applyFill="1" applyBorder="1" applyAlignment="1" applyProtection="1">
      <alignment horizontal="center"/>
      <protection/>
    </xf>
    <xf numFmtId="196" fontId="196" fillId="45" borderId="168" xfId="61" applyNumberFormat="1" applyFont="1" applyFill="1" applyBorder="1" applyAlignment="1" applyProtection="1">
      <alignment horizontal="center"/>
      <protection/>
    </xf>
    <xf numFmtId="196" fontId="188" fillId="38" borderId="167" xfId="61" applyNumberFormat="1" applyFont="1" applyFill="1" applyBorder="1" applyAlignment="1" applyProtection="1">
      <alignment horizontal="center"/>
      <protection/>
    </xf>
    <xf numFmtId="196" fontId="197" fillId="38" borderId="168" xfId="61" applyNumberFormat="1" applyFont="1" applyFill="1" applyBorder="1" applyAlignment="1" applyProtection="1">
      <alignment horizontal="center"/>
      <protection/>
    </xf>
    <xf numFmtId="196" fontId="198" fillId="46" borderId="169" xfId="61" applyNumberFormat="1" applyFont="1" applyFill="1" applyBorder="1" applyAlignment="1" applyProtection="1">
      <alignment horizontal="center"/>
      <protection/>
    </xf>
    <xf numFmtId="196" fontId="189" fillId="35" borderId="170" xfId="61" applyNumberFormat="1" applyFont="1" applyFill="1" applyBorder="1" applyAlignment="1" applyProtection="1">
      <alignment horizontal="center"/>
      <protection/>
    </xf>
    <xf numFmtId="196" fontId="195" fillId="45" borderId="171" xfId="61" applyNumberFormat="1" applyFont="1" applyFill="1" applyBorder="1" applyAlignment="1" applyProtection="1">
      <alignment horizontal="center"/>
      <protection/>
    </xf>
    <xf numFmtId="196" fontId="196" fillId="45" borderId="172" xfId="61" applyNumberFormat="1" applyFont="1" applyFill="1" applyBorder="1" applyAlignment="1" applyProtection="1">
      <alignment horizontal="center"/>
      <protection/>
    </xf>
    <xf numFmtId="196" fontId="188" fillId="38" borderId="171" xfId="61" applyNumberFormat="1" applyFont="1" applyFill="1" applyBorder="1" applyAlignment="1" applyProtection="1">
      <alignment horizontal="center"/>
      <protection/>
    </xf>
    <xf numFmtId="196" fontId="197" fillId="38" borderId="172" xfId="61" applyNumberFormat="1" applyFont="1" applyFill="1" applyBorder="1" applyAlignment="1" applyProtection="1">
      <alignment horizontal="center"/>
      <protection/>
    </xf>
    <xf numFmtId="196" fontId="198" fillId="46" borderId="173" xfId="61" applyNumberFormat="1" applyFont="1" applyFill="1" applyBorder="1" applyAlignment="1" applyProtection="1">
      <alignment horizontal="center"/>
      <protection/>
    </xf>
    <xf numFmtId="196" fontId="189" fillId="35" borderId="174" xfId="61" applyNumberFormat="1" applyFont="1" applyFill="1" applyBorder="1" applyAlignment="1" applyProtection="1">
      <alignment horizontal="center"/>
      <protection/>
    </xf>
    <xf numFmtId="0" fontId="233" fillId="0" borderId="0" xfId="61" applyProtection="1">
      <alignment/>
      <protection/>
    </xf>
    <xf numFmtId="185" fontId="157" fillId="45" borderId="30" xfId="61" applyNumberFormat="1" applyFont="1" applyFill="1" applyBorder="1" applyAlignment="1" applyProtection="1" quotePrefix="1">
      <alignment horizontal="center"/>
      <protection/>
    </xf>
    <xf numFmtId="185" fontId="155" fillId="46" borderId="30" xfId="61" applyNumberFormat="1" applyFont="1" applyFill="1" applyBorder="1" applyAlignment="1" applyProtection="1" quotePrefix="1">
      <alignment horizontal="center"/>
      <protection/>
    </xf>
    <xf numFmtId="185" fontId="151" fillId="42" borderId="30" xfId="61" applyNumberFormat="1" applyFont="1" applyFill="1" applyBorder="1" applyAlignment="1" applyProtection="1" quotePrefix="1">
      <alignment horizontal="center"/>
      <protection/>
    </xf>
    <xf numFmtId="185" fontId="82" fillId="42" borderId="0" xfId="61" applyNumberFormat="1" applyFont="1" applyFill="1" applyAlignment="1" applyProtection="1">
      <alignment horizontal="right"/>
      <protection/>
    </xf>
    <xf numFmtId="185" fontId="40" fillId="35" borderId="175" xfId="61" applyNumberFormat="1" applyFont="1" applyFill="1" applyBorder="1" applyAlignment="1" applyProtection="1" quotePrefix="1">
      <alignment horizontal="center"/>
      <protection/>
    </xf>
    <xf numFmtId="0" fontId="167" fillId="35" borderId="23" xfId="0" applyNumberFormat="1" applyFont="1" applyFill="1" applyBorder="1" applyAlignment="1" applyProtection="1">
      <alignment horizontal="center" vertical="center"/>
      <protection/>
    </xf>
    <xf numFmtId="0" fontId="152" fillId="42" borderId="0" xfId="0" applyNumberFormat="1" applyFont="1" applyFill="1" applyBorder="1" applyAlignment="1" applyProtection="1">
      <alignment horizontal="left"/>
      <protection/>
    </xf>
    <xf numFmtId="0" fontId="154" fillId="42" borderId="0" xfId="61" applyNumberFormat="1" applyFont="1" applyFill="1" applyAlignment="1" applyProtection="1">
      <alignment horizontal="center" vertical="center"/>
      <protection/>
    </xf>
    <xf numFmtId="0" fontId="37" fillId="44" borderId="0" xfId="61" applyNumberFormat="1" applyFont="1" applyFill="1" applyBorder="1" applyProtection="1">
      <alignment/>
      <protection/>
    </xf>
    <xf numFmtId="0" fontId="187" fillId="35" borderId="23" xfId="58" applyNumberFormat="1" applyFont="1" applyFill="1" applyBorder="1" applyAlignment="1" applyProtection="1">
      <alignment horizontal="center" vertical="center"/>
      <protection/>
    </xf>
    <xf numFmtId="0" fontId="82" fillId="42" borderId="0" xfId="61" applyNumberFormat="1" applyFont="1" applyFill="1" applyAlignment="1" applyProtection="1" quotePrefix="1">
      <alignment horizontal="left"/>
      <protection/>
    </xf>
    <xf numFmtId="0" fontId="26" fillId="42" borderId="0" xfId="64" applyNumberFormat="1" applyFont="1" applyFill="1" applyProtection="1">
      <alignment/>
      <protection/>
    </xf>
    <xf numFmtId="0" fontId="64" fillId="42" borderId="0" xfId="71" applyNumberFormat="1" applyFont="1" applyFill="1" applyAlignment="1" applyProtection="1">
      <alignment/>
      <protection/>
    </xf>
    <xf numFmtId="0" fontId="30" fillId="44" borderId="0" xfId="61" applyNumberFormat="1" applyFont="1" applyFill="1" applyBorder="1" applyProtection="1">
      <alignment/>
      <protection/>
    </xf>
    <xf numFmtId="0" fontId="40" fillId="42" borderId="24" xfId="61" applyNumberFormat="1" applyFont="1" applyFill="1" applyBorder="1" applyProtection="1">
      <alignment/>
      <protection/>
    </xf>
    <xf numFmtId="0" fontId="30" fillId="35" borderId="33" xfId="61" applyNumberFormat="1" applyFont="1" applyFill="1" applyBorder="1" applyAlignment="1" applyProtection="1" quotePrefix="1">
      <alignment horizontal="center"/>
      <protection/>
    </xf>
    <xf numFmtId="0" fontId="40" fillId="35" borderId="33" xfId="61" applyNumberFormat="1" applyFont="1" applyFill="1" applyBorder="1" applyAlignment="1" applyProtection="1" quotePrefix="1">
      <alignment horizontal="center"/>
      <protection/>
    </xf>
    <xf numFmtId="0" fontId="164" fillId="42" borderId="133" xfId="61" applyNumberFormat="1" applyFont="1" applyFill="1" applyBorder="1" applyAlignment="1" applyProtection="1" quotePrefix="1">
      <alignment/>
      <protection/>
    </xf>
    <xf numFmtId="0" fontId="40" fillId="42" borderId="0" xfId="61" applyNumberFormat="1" applyFont="1" applyFill="1" applyBorder="1" applyAlignment="1" applyProtection="1">
      <alignment horizontal="center"/>
      <protection/>
    </xf>
    <xf numFmtId="0" fontId="82" fillId="44" borderId="0" xfId="61" applyNumberFormat="1" applyFont="1" applyFill="1" applyProtection="1">
      <alignment/>
      <protection/>
    </xf>
    <xf numFmtId="0" fontId="233" fillId="0" borderId="0" xfId="61" applyNumberFormat="1" applyProtection="1">
      <alignment/>
      <protection/>
    </xf>
    <xf numFmtId="185" fontId="134" fillId="35" borderId="30" xfId="58" applyNumberFormat="1" applyFont="1" applyFill="1" applyBorder="1" applyAlignment="1" applyProtection="1">
      <alignment horizontal="center" vertical="center"/>
      <protection/>
    </xf>
    <xf numFmtId="202" fontId="30" fillId="35" borderId="30" xfId="61" applyNumberFormat="1" applyFont="1" applyFill="1" applyBorder="1" applyAlignment="1" applyProtection="1" quotePrefix="1">
      <alignment horizontal="center"/>
      <protection/>
    </xf>
    <xf numFmtId="0" fontId="40" fillId="35" borderId="16" xfId="61" applyNumberFormat="1" applyFont="1" applyFill="1" applyBorder="1" applyAlignment="1" applyProtection="1" quotePrefix="1">
      <alignment horizontal="center" wrapText="1"/>
      <protection/>
    </xf>
    <xf numFmtId="0" fontId="48" fillId="35" borderId="16" xfId="61" applyNumberFormat="1" applyFont="1" applyFill="1" applyBorder="1" applyAlignment="1" applyProtection="1" quotePrefix="1">
      <alignment horizontal="center" wrapText="1"/>
      <protection/>
    </xf>
    <xf numFmtId="38" fontId="6" fillId="35" borderId="136" xfId="71" applyNumberFormat="1" applyFont="1" applyFill="1" applyBorder="1" applyAlignment="1" applyProtection="1">
      <alignment/>
      <protection/>
    </xf>
    <xf numFmtId="38" fontId="112" fillId="35" borderId="17" xfId="71" applyNumberFormat="1" applyFont="1" applyFill="1" applyBorder="1" applyAlignment="1" applyProtection="1">
      <alignment/>
      <protection/>
    </xf>
    <xf numFmtId="38" fontId="9" fillId="35" borderId="176" xfId="71" applyNumberFormat="1" applyFont="1" applyFill="1" applyBorder="1" applyAlignment="1" applyProtection="1">
      <alignment/>
      <protection/>
    </xf>
    <xf numFmtId="38" fontId="6" fillId="35" borderId="139" xfId="71" applyNumberFormat="1" applyFont="1" applyFill="1" applyBorder="1" applyAlignment="1" applyProtection="1">
      <alignment/>
      <protection/>
    </xf>
    <xf numFmtId="38" fontId="9" fillId="35" borderId="17" xfId="71" applyNumberFormat="1" applyFont="1" applyFill="1" applyBorder="1" applyAlignment="1" applyProtection="1">
      <alignment/>
      <protection/>
    </xf>
    <xf numFmtId="38" fontId="6" fillId="35" borderId="176" xfId="71" applyNumberFormat="1" applyFont="1" applyFill="1" applyBorder="1" applyAlignment="1" applyProtection="1">
      <alignment/>
      <protection/>
    </xf>
    <xf numFmtId="38" fontId="9" fillId="44" borderId="132" xfId="71" applyNumberFormat="1" applyFont="1" applyFill="1" applyBorder="1" applyAlignment="1" applyProtection="1">
      <alignment/>
      <protection/>
    </xf>
    <xf numFmtId="38" fontId="6" fillId="44" borderId="176" xfId="71" applyNumberFormat="1" applyFont="1" applyFill="1" applyBorder="1" applyAlignment="1" applyProtection="1">
      <alignment/>
      <protection/>
    </xf>
    <xf numFmtId="38" fontId="6" fillId="44" borderId="136" xfId="71" applyNumberFormat="1" applyFont="1" applyFill="1" applyBorder="1" applyAlignment="1" applyProtection="1">
      <alignment/>
      <protection/>
    </xf>
    <xf numFmtId="38" fontId="6" fillId="44" borderId="137" xfId="71" applyNumberFormat="1" applyFont="1" applyFill="1" applyBorder="1" applyAlignment="1" applyProtection="1">
      <alignment/>
      <protection/>
    </xf>
    <xf numFmtId="38" fontId="12" fillId="44" borderId="135" xfId="71" applyNumberFormat="1" applyFont="1" applyFill="1" applyBorder="1" applyAlignment="1" applyProtection="1">
      <alignment/>
      <protection/>
    </xf>
    <xf numFmtId="38" fontId="12" fillId="44" borderId="136" xfId="71" applyNumberFormat="1" applyFont="1" applyFill="1" applyBorder="1" applyAlignment="1" applyProtection="1">
      <alignment/>
      <protection/>
    </xf>
    <xf numFmtId="38" fontId="12" fillId="44" borderId="139" xfId="71" applyNumberFormat="1" applyFont="1" applyFill="1" applyBorder="1" applyAlignment="1" applyProtection="1">
      <alignment/>
      <protection/>
    </xf>
    <xf numFmtId="0" fontId="40" fillId="45" borderId="177" xfId="61" applyFont="1" applyFill="1" applyBorder="1" applyAlignment="1" applyProtection="1">
      <alignment horizontal="left"/>
      <protection/>
    </xf>
    <xf numFmtId="38" fontId="12" fillId="44" borderId="45" xfId="71" applyNumberFormat="1" applyFont="1" applyFill="1" applyBorder="1" applyAlignment="1" applyProtection="1">
      <alignment/>
      <protection/>
    </xf>
    <xf numFmtId="0" fontId="40" fillId="45" borderId="177" xfId="61" applyFont="1" applyFill="1" applyBorder="1" applyAlignment="1" applyProtection="1" quotePrefix="1">
      <alignment horizontal="left"/>
      <protection/>
    </xf>
    <xf numFmtId="0" fontId="40" fillId="44" borderId="177" xfId="61" applyFont="1" applyFill="1" applyBorder="1" applyAlignment="1" applyProtection="1">
      <alignment horizontal="left"/>
      <protection/>
    </xf>
    <xf numFmtId="0" fontId="38" fillId="45" borderId="178" xfId="61" applyFont="1" applyFill="1" applyBorder="1" applyAlignment="1" applyProtection="1">
      <alignment horizontal="left"/>
      <protection/>
    </xf>
    <xf numFmtId="195" fontId="38" fillId="45" borderId="156" xfId="61" applyNumberFormat="1" applyFont="1" applyFill="1" applyBorder="1" applyAlignment="1" applyProtection="1">
      <alignment horizontal="left"/>
      <protection/>
    </xf>
    <xf numFmtId="38" fontId="6" fillId="35" borderId="50" xfId="71" applyNumberFormat="1" applyFont="1" applyFill="1" applyBorder="1" applyAlignment="1" applyProtection="1">
      <alignment/>
      <protection/>
    </xf>
    <xf numFmtId="38" fontId="122" fillId="46" borderId="137" xfId="71" applyNumberFormat="1" applyFont="1" applyFill="1" applyBorder="1" applyAlignment="1" applyProtection="1">
      <alignment/>
      <protection/>
    </xf>
    <xf numFmtId="38" fontId="6" fillId="35" borderId="137" xfId="71" applyNumberFormat="1" applyFont="1" applyFill="1" applyBorder="1" applyAlignment="1" applyProtection="1">
      <alignment/>
      <protection/>
    </xf>
    <xf numFmtId="0" fontId="40" fillId="35" borderId="156" xfId="61" applyFont="1" applyFill="1" applyBorder="1" applyAlignment="1" applyProtection="1">
      <alignment horizontal="left"/>
      <protection/>
    </xf>
    <xf numFmtId="0" fontId="30" fillId="42" borderId="0" xfId="61" applyNumberFormat="1" applyFont="1" applyFill="1" applyBorder="1" applyProtection="1">
      <alignment/>
      <protection/>
    </xf>
    <xf numFmtId="0" fontId="199" fillId="48" borderId="0" xfId="61" applyFont="1" applyFill="1" applyAlignment="1" applyProtection="1" quotePrefix="1">
      <alignment horizontal="center"/>
      <protection/>
    </xf>
    <xf numFmtId="3" fontId="156" fillId="44" borderId="33" xfId="58" applyNumberFormat="1" applyFont="1" applyFill="1" applyBorder="1" applyAlignment="1" applyProtection="1">
      <alignment vertical="center"/>
      <protection/>
    </xf>
    <xf numFmtId="3" fontId="104" fillId="42" borderId="33" xfId="58" applyNumberFormat="1" applyFont="1" applyFill="1" applyBorder="1" applyAlignment="1" applyProtection="1">
      <alignment vertical="center"/>
      <protection/>
    </xf>
    <xf numFmtId="3" fontId="104" fillId="42" borderId="37" xfId="58" applyNumberFormat="1" applyFont="1" applyFill="1" applyBorder="1" applyAlignment="1" applyProtection="1">
      <alignment vertical="center"/>
      <protection/>
    </xf>
    <xf numFmtId="0" fontId="82" fillId="42" borderId="0" xfId="61" applyNumberFormat="1" applyFont="1" applyFill="1" applyBorder="1" applyProtection="1">
      <alignment/>
      <protection/>
    </xf>
    <xf numFmtId="0" fontId="93" fillId="42" borderId="0" xfId="58" applyFont="1" applyFill="1" applyBorder="1" applyAlignment="1" applyProtection="1" quotePrefix="1">
      <alignment/>
      <protection/>
    </xf>
    <xf numFmtId="0" fontId="200" fillId="42" borderId="0" xfId="61" applyFont="1" applyFill="1" applyBorder="1" applyAlignment="1" applyProtection="1">
      <alignment horizontal="right"/>
      <protection/>
    </xf>
    <xf numFmtId="0" fontId="93" fillId="42" borderId="0" xfId="64" applyFont="1" applyFill="1" applyBorder="1" applyAlignment="1" applyProtection="1">
      <alignment horizontal="right"/>
      <protection/>
    </xf>
    <xf numFmtId="0" fontId="9" fillId="42" borderId="0" xfId="64" applyFont="1" applyFill="1" applyBorder="1" applyAlignment="1" applyProtection="1">
      <alignment horizontal="right"/>
      <protection/>
    </xf>
    <xf numFmtId="0" fontId="201" fillId="42" borderId="0" xfId="64" applyFont="1" applyFill="1" applyBorder="1" applyAlignment="1" applyProtection="1">
      <alignment horizontal="center"/>
      <protection/>
    </xf>
    <xf numFmtId="195" fontId="64" fillId="42" borderId="0" xfId="71" applyNumberFormat="1" applyFont="1" applyFill="1" applyBorder="1" applyAlignment="1" applyProtection="1">
      <alignment/>
      <protection/>
    </xf>
    <xf numFmtId="38" fontId="64" fillId="42" borderId="0" xfId="71" applyNumberFormat="1" applyFont="1" applyFill="1" applyBorder="1" applyProtection="1">
      <alignment/>
      <protection/>
    </xf>
    <xf numFmtId="0" fontId="200" fillId="42" borderId="0" xfId="61" applyFont="1" applyFill="1" applyBorder="1" applyAlignment="1" applyProtection="1" quotePrefix="1">
      <alignment horizontal="left"/>
      <protection/>
    </xf>
    <xf numFmtId="0" fontId="68" fillId="42" borderId="0" xfId="61" applyFont="1" applyFill="1" applyBorder="1" applyAlignment="1" applyProtection="1">
      <alignment/>
      <protection/>
    </xf>
    <xf numFmtId="201" fontId="133" fillId="42" borderId="16" xfId="61" applyNumberFormat="1" applyFont="1" applyFill="1" applyBorder="1" applyAlignment="1" applyProtection="1" quotePrefix="1">
      <alignment horizontal="center" vertical="center" wrapText="1"/>
      <protection/>
    </xf>
    <xf numFmtId="208" fontId="30" fillId="35" borderId="35" xfId="61" applyNumberFormat="1" applyFont="1" applyFill="1" applyBorder="1" applyAlignment="1" applyProtection="1">
      <alignment/>
      <protection/>
    </xf>
    <xf numFmtId="208" fontId="30" fillId="35" borderId="47" xfId="61" applyNumberFormat="1" applyFont="1" applyFill="1" applyBorder="1" applyAlignment="1" applyProtection="1">
      <alignment/>
      <protection/>
    </xf>
    <xf numFmtId="208" fontId="82" fillId="42" borderId="0" xfId="61" applyNumberFormat="1" applyFont="1" applyFill="1" applyAlignment="1" applyProtection="1">
      <alignment horizontal="right"/>
      <protection/>
    </xf>
    <xf numFmtId="208" fontId="40" fillId="35" borderId="179" xfId="61" applyNumberFormat="1" applyFont="1" applyFill="1" applyBorder="1" applyAlignment="1" applyProtection="1">
      <alignment/>
      <protection/>
    </xf>
    <xf numFmtId="208" fontId="40" fillId="35" borderId="180" xfId="61" applyNumberFormat="1" applyFont="1" applyFill="1" applyBorder="1" applyAlignment="1" applyProtection="1">
      <alignment/>
      <protection/>
    </xf>
    <xf numFmtId="208" fontId="40" fillId="35" borderId="181" xfId="61" applyNumberFormat="1" applyFont="1" applyFill="1" applyBorder="1" applyAlignment="1" applyProtection="1">
      <alignment/>
      <protection/>
    </xf>
    <xf numFmtId="208" fontId="40" fillId="42" borderId="33" xfId="61" applyNumberFormat="1" applyFont="1" applyFill="1" applyBorder="1" applyAlignment="1" applyProtection="1">
      <alignment/>
      <protection/>
    </xf>
    <xf numFmtId="208" fontId="30" fillId="42" borderId="33" xfId="61" applyNumberFormat="1" applyFont="1" applyFill="1" applyBorder="1" applyAlignment="1" applyProtection="1">
      <alignment/>
      <protection/>
    </xf>
    <xf numFmtId="208" fontId="40" fillId="42" borderId="161" xfId="61" applyNumberFormat="1" applyFont="1" applyFill="1" applyBorder="1" applyAlignment="1" applyProtection="1">
      <alignment/>
      <protection/>
    </xf>
    <xf numFmtId="208" fontId="40" fillId="35" borderId="35" xfId="61" applyNumberFormat="1" applyFont="1" applyFill="1" applyBorder="1" applyAlignment="1" applyProtection="1">
      <alignment/>
      <protection/>
    </xf>
    <xf numFmtId="208" fontId="40" fillId="35" borderId="182" xfId="61" applyNumberFormat="1" applyFont="1" applyFill="1" applyBorder="1" applyAlignment="1" applyProtection="1">
      <alignment/>
      <protection/>
    </xf>
    <xf numFmtId="208" fontId="40" fillId="35" borderId="18" xfId="61" applyNumberFormat="1" applyFont="1" applyFill="1" applyBorder="1" applyAlignment="1" applyProtection="1">
      <alignment/>
      <protection/>
    </xf>
    <xf numFmtId="208" fontId="30" fillId="35" borderId="18" xfId="61" applyNumberFormat="1" applyFont="1" applyFill="1" applyBorder="1" applyAlignment="1" applyProtection="1">
      <alignment/>
      <protection/>
    </xf>
    <xf numFmtId="208" fontId="40" fillId="35" borderId="164" xfId="61" applyNumberFormat="1" applyFont="1" applyFill="1" applyBorder="1" applyAlignment="1" applyProtection="1">
      <alignment/>
      <protection/>
    </xf>
    <xf numFmtId="208" fontId="40" fillId="44" borderId="35" xfId="61" applyNumberFormat="1" applyFont="1" applyFill="1" applyBorder="1" applyAlignment="1" applyProtection="1">
      <alignment/>
      <protection/>
    </xf>
    <xf numFmtId="208" fontId="30" fillId="44" borderId="35" xfId="61" applyNumberFormat="1" applyFont="1" applyFill="1" applyBorder="1" applyAlignment="1" applyProtection="1">
      <alignment/>
      <protection/>
    </xf>
    <xf numFmtId="208" fontId="40" fillId="44" borderId="182" xfId="61" applyNumberFormat="1" applyFont="1" applyFill="1" applyBorder="1" applyAlignment="1" applyProtection="1">
      <alignment/>
      <protection/>
    </xf>
    <xf numFmtId="208" fontId="40" fillId="44" borderId="47" xfId="61" applyNumberFormat="1" applyFont="1" applyFill="1" applyBorder="1" applyAlignment="1" applyProtection="1">
      <alignment/>
      <protection/>
    </xf>
    <xf numFmtId="208" fontId="30" fillId="44" borderId="47" xfId="61" applyNumberFormat="1" applyFont="1" applyFill="1" applyBorder="1" applyAlignment="1" applyProtection="1">
      <alignment/>
      <protection/>
    </xf>
    <xf numFmtId="208" fontId="40" fillId="44" borderId="179" xfId="61" applyNumberFormat="1" applyFont="1" applyFill="1" applyBorder="1" applyAlignment="1" applyProtection="1">
      <alignment/>
      <protection/>
    </xf>
    <xf numFmtId="208" fontId="40" fillId="44" borderId="41" xfId="61" applyNumberFormat="1" applyFont="1" applyFill="1" applyBorder="1" applyAlignment="1" applyProtection="1">
      <alignment/>
      <protection/>
    </xf>
    <xf numFmtId="208" fontId="30" fillId="44" borderId="41" xfId="61" applyNumberFormat="1" applyFont="1" applyFill="1" applyBorder="1" applyAlignment="1" applyProtection="1">
      <alignment/>
      <protection/>
    </xf>
    <xf numFmtId="208" fontId="40" fillId="44" borderId="180" xfId="61" applyNumberFormat="1" applyFont="1" applyFill="1" applyBorder="1" applyAlignment="1" applyProtection="1">
      <alignment/>
      <protection/>
    </xf>
    <xf numFmtId="208" fontId="40" fillId="44" borderId="42" xfId="61" applyNumberFormat="1" applyFont="1" applyFill="1" applyBorder="1" applyAlignment="1" applyProtection="1">
      <alignment/>
      <protection/>
    </xf>
    <xf numFmtId="208" fontId="30" fillId="44" borderId="42" xfId="61" applyNumberFormat="1" applyFont="1" applyFill="1" applyBorder="1" applyAlignment="1" applyProtection="1">
      <alignment/>
      <protection/>
    </xf>
    <xf numFmtId="208" fontId="40" fillId="44" borderId="181" xfId="61" applyNumberFormat="1" applyFont="1" applyFill="1" applyBorder="1" applyAlignment="1" applyProtection="1">
      <alignment/>
      <protection/>
    </xf>
    <xf numFmtId="208" fontId="118" fillId="44" borderId="183" xfId="61" applyNumberFormat="1" applyFont="1" applyFill="1" applyBorder="1" applyAlignment="1" applyProtection="1">
      <alignment/>
      <protection/>
    </xf>
    <xf numFmtId="208" fontId="118" fillId="44" borderId="180" xfId="61" applyNumberFormat="1" applyFont="1" applyFill="1" applyBorder="1" applyAlignment="1" applyProtection="1">
      <alignment/>
      <protection/>
    </xf>
    <xf numFmtId="208" fontId="118" fillId="44" borderId="184" xfId="61" applyNumberFormat="1" applyFont="1" applyFill="1" applyBorder="1" applyAlignment="1" applyProtection="1">
      <alignment/>
      <protection/>
    </xf>
    <xf numFmtId="208" fontId="40" fillId="35" borderId="47" xfId="61" applyNumberFormat="1" applyFont="1" applyFill="1" applyBorder="1" applyAlignment="1" applyProtection="1">
      <alignment/>
      <protection/>
    </xf>
    <xf numFmtId="208" fontId="40" fillId="45" borderId="36" xfId="61" applyNumberFormat="1" applyFont="1" applyFill="1" applyBorder="1" applyAlignment="1" applyProtection="1">
      <alignment/>
      <protection/>
    </xf>
    <xf numFmtId="208" fontId="30" fillId="45" borderId="36" xfId="61" applyNumberFormat="1" applyFont="1" applyFill="1" applyBorder="1" applyAlignment="1" applyProtection="1">
      <alignment/>
      <protection/>
    </xf>
    <xf numFmtId="208" fontId="40" fillId="45" borderId="174" xfId="61" applyNumberFormat="1" applyFont="1" applyFill="1" applyBorder="1" applyAlignment="1" applyProtection="1">
      <alignment/>
      <protection/>
    </xf>
    <xf numFmtId="208" fontId="40" fillId="35" borderId="184" xfId="61" applyNumberFormat="1" applyFont="1" applyFill="1" applyBorder="1" applyAlignment="1" applyProtection="1">
      <alignment/>
      <protection/>
    </xf>
    <xf numFmtId="208" fontId="40" fillId="35" borderId="42" xfId="61" applyNumberFormat="1" applyFont="1" applyFill="1" applyBorder="1" applyAlignment="1" applyProtection="1">
      <alignment/>
      <protection/>
    </xf>
    <xf numFmtId="208" fontId="30" fillId="35" borderId="42" xfId="61" applyNumberFormat="1" applyFont="1" applyFill="1" applyBorder="1" applyAlignment="1" applyProtection="1">
      <alignment/>
      <protection/>
    </xf>
    <xf numFmtId="208" fontId="40" fillId="44" borderId="36" xfId="61" applyNumberFormat="1" applyFont="1" applyFill="1" applyBorder="1" applyAlignment="1" applyProtection="1">
      <alignment/>
      <protection/>
    </xf>
    <xf numFmtId="208" fontId="30" fillId="44" borderId="36" xfId="61" applyNumberFormat="1" applyFont="1" applyFill="1" applyBorder="1" applyAlignment="1" applyProtection="1">
      <alignment/>
      <protection/>
    </xf>
    <xf numFmtId="208" fontId="40" fillId="44" borderId="174" xfId="61" applyNumberFormat="1" applyFont="1" applyFill="1" applyBorder="1" applyAlignment="1" applyProtection="1">
      <alignment/>
      <protection/>
    </xf>
    <xf numFmtId="208" fontId="30" fillId="45" borderId="140" xfId="61" applyNumberFormat="1" applyFont="1" applyFill="1" applyBorder="1" applyAlignment="1" applyProtection="1">
      <alignment/>
      <protection/>
    </xf>
    <xf numFmtId="208" fontId="40" fillId="45" borderId="140" xfId="61" applyNumberFormat="1" applyFont="1" applyFill="1" applyBorder="1" applyAlignment="1" applyProtection="1">
      <alignment/>
      <protection/>
    </xf>
    <xf numFmtId="208" fontId="40" fillId="45" borderId="185" xfId="61" applyNumberFormat="1" applyFont="1" applyFill="1" applyBorder="1" applyAlignment="1" applyProtection="1">
      <alignment/>
      <protection/>
    </xf>
    <xf numFmtId="208" fontId="30" fillId="42" borderId="0" xfId="61" applyNumberFormat="1" applyFont="1" applyFill="1" applyBorder="1" applyAlignment="1" applyProtection="1" quotePrefix="1">
      <alignment horizontal="right"/>
      <protection/>
    </xf>
    <xf numFmtId="208" fontId="30" fillId="45" borderId="87" xfId="61" applyNumberFormat="1" applyFont="1" applyFill="1" applyBorder="1" applyAlignment="1" applyProtection="1">
      <alignment/>
      <protection/>
    </xf>
    <xf numFmtId="208" fontId="40" fillId="45" borderId="87" xfId="61" applyNumberFormat="1" applyFont="1" applyFill="1" applyBorder="1" applyAlignment="1" applyProtection="1">
      <alignment/>
      <protection/>
    </xf>
    <xf numFmtId="208" fontId="40" fillId="45" borderId="186" xfId="61" applyNumberFormat="1" applyFont="1" applyFill="1" applyBorder="1" applyAlignment="1" applyProtection="1">
      <alignment/>
      <protection/>
    </xf>
    <xf numFmtId="208" fontId="30" fillId="46" borderId="42" xfId="61" applyNumberFormat="1" applyFont="1" applyFill="1" applyBorder="1" applyAlignment="1" applyProtection="1">
      <alignment/>
      <protection/>
    </xf>
    <xf numFmtId="208" fontId="40" fillId="46" borderId="42" xfId="61" applyNumberFormat="1" applyFont="1" applyFill="1" applyBorder="1" applyAlignment="1" applyProtection="1">
      <alignment/>
      <protection/>
    </xf>
    <xf numFmtId="208" fontId="40" fillId="46" borderId="181" xfId="61" applyNumberFormat="1" applyFont="1" applyFill="1" applyBorder="1" applyAlignment="1" applyProtection="1">
      <alignment/>
      <protection/>
    </xf>
    <xf numFmtId="208" fontId="30" fillId="35" borderId="87" xfId="61" applyNumberFormat="1" applyFont="1" applyFill="1" applyBorder="1" applyAlignment="1" applyProtection="1">
      <alignment/>
      <protection/>
    </xf>
    <xf numFmtId="208" fontId="40" fillId="35" borderId="87" xfId="61" applyNumberFormat="1" applyFont="1" applyFill="1" applyBorder="1" applyAlignment="1" applyProtection="1">
      <alignment/>
      <protection/>
    </xf>
    <xf numFmtId="0" fontId="30" fillId="42" borderId="0" xfId="61" applyFont="1" applyFill="1" applyBorder="1" applyAlignment="1" applyProtection="1">
      <alignment horizontal="center"/>
      <protection/>
    </xf>
    <xf numFmtId="0" fontId="37" fillId="44" borderId="0" xfId="61" applyFont="1" applyFill="1" applyAlignment="1" applyProtection="1">
      <alignment horizontal="center"/>
      <protection/>
    </xf>
    <xf numFmtId="196" fontId="122" fillId="45" borderId="167" xfId="61" applyNumberFormat="1" applyFont="1" applyFill="1" applyBorder="1" applyAlignment="1" applyProtection="1">
      <alignment horizontal="center"/>
      <protection/>
    </xf>
    <xf numFmtId="196" fontId="91" fillId="45" borderId="168" xfId="61" applyNumberFormat="1" applyFont="1" applyFill="1" applyBorder="1" applyAlignment="1" applyProtection="1">
      <alignment horizontal="center"/>
      <protection/>
    </xf>
    <xf numFmtId="0" fontId="15" fillId="35" borderId="154" xfId="61" applyNumberFormat="1" applyFont="1" applyFill="1" applyBorder="1" applyAlignment="1" applyProtection="1">
      <alignment horizontal="center"/>
      <protection/>
    </xf>
    <xf numFmtId="0" fontId="14" fillId="35" borderId="20" xfId="61" applyNumberFormat="1" applyFont="1" applyFill="1" applyBorder="1" applyAlignment="1" applyProtection="1">
      <alignment horizontal="center"/>
      <protection/>
    </xf>
    <xf numFmtId="0" fontId="37" fillId="44" borderId="0" xfId="61" applyFont="1" applyFill="1" applyBorder="1" applyAlignment="1" applyProtection="1">
      <alignment horizontal="center"/>
      <protection/>
    </xf>
    <xf numFmtId="196" fontId="122" fillId="45" borderId="171" xfId="61" applyNumberFormat="1" applyFont="1" applyFill="1" applyBorder="1" applyAlignment="1" applyProtection="1">
      <alignment horizontal="center"/>
      <protection/>
    </xf>
    <xf numFmtId="196" fontId="91" fillId="45" borderId="172" xfId="61" applyNumberFormat="1" applyFont="1" applyFill="1" applyBorder="1" applyAlignment="1" applyProtection="1">
      <alignment horizontal="center"/>
      <protection/>
    </xf>
    <xf numFmtId="0" fontId="15" fillId="35" borderId="148" xfId="61" applyNumberFormat="1" applyFont="1" applyFill="1" applyBorder="1" applyAlignment="1" applyProtection="1">
      <alignment horizontal="center"/>
      <protection/>
    </xf>
    <xf numFmtId="0" fontId="14" fillId="35" borderId="29" xfId="61" applyNumberFormat="1" applyFont="1" applyFill="1" applyBorder="1" applyAlignment="1" applyProtection="1">
      <alignment horizontal="center"/>
      <protection/>
    </xf>
    <xf numFmtId="196" fontId="15" fillId="35" borderId="154" xfId="61" applyNumberFormat="1" applyFont="1" applyFill="1" applyBorder="1" applyAlignment="1" applyProtection="1">
      <alignment horizontal="center"/>
      <protection/>
    </xf>
    <xf numFmtId="196" fontId="14" fillId="35" borderId="20" xfId="61" applyNumberFormat="1" applyFont="1" applyFill="1" applyBorder="1" applyAlignment="1" applyProtection="1">
      <alignment horizontal="center"/>
      <protection/>
    </xf>
    <xf numFmtId="196" fontId="15" fillId="35" borderId="148" xfId="61" applyNumberFormat="1" applyFont="1" applyFill="1" applyBorder="1" applyAlignment="1" applyProtection="1">
      <alignment horizontal="center"/>
      <protection/>
    </xf>
    <xf numFmtId="196" fontId="14" fillId="35" borderId="29" xfId="61" applyNumberFormat="1" applyFont="1" applyFill="1" applyBorder="1" applyAlignment="1" applyProtection="1">
      <alignment horizontal="center"/>
      <protection/>
    </xf>
    <xf numFmtId="0" fontId="14" fillId="35" borderId="0" xfId="58" applyFont="1" applyFill="1" applyAlignment="1">
      <alignment vertical="center"/>
      <protection/>
    </xf>
    <xf numFmtId="0" fontId="156" fillId="42" borderId="23" xfId="58" applyFont="1" applyFill="1" applyBorder="1" applyAlignment="1">
      <alignment horizontal="center" vertical="center"/>
      <protection/>
    </xf>
    <xf numFmtId="0" fontId="40" fillId="35" borderId="0" xfId="0" applyFont="1" applyFill="1" applyAlignment="1" applyProtection="1">
      <alignment horizontal="right"/>
      <protection/>
    </xf>
    <xf numFmtId="185" fontId="160" fillId="42" borderId="23" xfId="58" applyNumberFormat="1" applyFont="1" applyFill="1" applyBorder="1" applyAlignment="1" applyProtection="1">
      <alignment horizontal="center" vertical="center"/>
      <protection/>
    </xf>
    <xf numFmtId="192" fontId="11" fillId="42" borderId="0" xfId="67" applyNumberFormat="1" applyFont="1" applyFill="1" applyBorder="1" applyAlignment="1" quotePrefix="1">
      <alignment horizontal="left"/>
      <protection/>
    </xf>
    <xf numFmtId="192" fontId="65" fillId="42" borderId="81" xfId="58" applyNumberFormat="1" applyFont="1" applyFill="1" applyBorder="1" applyAlignment="1">
      <alignment horizontal="center"/>
      <protection/>
    </xf>
    <xf numFmtId="0" fontId="95" fillId="35" borderId="45" xfId="61" applyFont="1" applyFill="1" applyBorder="1" applyAlignment="1" applyProtection="1" quotePrefix="1">
      <alignment horizontal="left"/>
      <protection/>
    </xf>
    <xf numFmtId="0" fontId="95" fillId="35" borderId="59" xfId="61" applyFont="1" applyFill="1" applyBorder="1" applyAlignment="1" applyProtection="1" quotePrefix="1">
      <alignment horizontal="left"/>
      <protection/>
    </xf>
    <xf numFmtId="0" fontId="95" fillId="35" borderId="81" xfId="61" applyFont="1" applyFill="1" applyBorder="1" applyAlignment="1" applyProtection="1" quotePrefix="1">
      <alignment horizontal="left"/>
      <protection/>
    </xf>
    <xf numFmtId="0" fontId="30" fillId="35" borderId="135" xfId="61" applyFont="1" applyFill="1" applyBorder="1" applyAlignment="1" applyProtection="1">
      <alignment horizontal="center"/>
      <protection/>
    </xf>
    <xf numFmtId="0" fontId="30" fillId="35" borderId="52" xfId="61" applyFont="1" applyFill="1" applyBorder="1" applyAlignment="1" applyProtection="1">
      <alignment horizontal="center"/>
      <protection/>
    </xf>
    <xf numFmtId="0" fontId="30" fillId="35" borderId="115" xfId="61" applyFont="1" applyFill="1" applyBorder="1" applyAlignment="1" applyProtection="1">
      <alignment horizontal="center"/>
      <protection/>
    </xf>
    <xf numFmtId="38" fontId="9" fillId="44" borderId="132" xfId="71" applyNumberFormat="1" applyFont="1" applyFill="1" applyBorder="1" applyAlignment="1" applyProtection="1">
      <alignment horizontal="center"/>
      <protection/>
    </xf>
    <xf numFmtId="38" fontId="9" fillId="44" borderId="69" xfId="71" applyNumberFormat="1" applyFont="1" applyFill="1" applyBorder="1" applyAlignment="1" applyProtection="1">
      <alignment horizontal="center"/>
      <protection/>
    </xf>
    <xf numFmtId="38" fontId="9" fillId="44" borderId="70" xfId="71" applyNumberFormat="1" applyFont="1" applyFill="1" applyBorder="1" applyAlignment="1" applyProtection="1">
      <alignment horizontal="center"/>
      <protection/>
    </xf>
    <xf numFmtId="38" fontId="6" fillId="44" borderId="176" xfId="71" applyNumberFormat="1" applyFont="1" applyFill="1" applyBorder="1" applyAlignment="1" applyProtection="1">
      <alignment horizontal="center"/>
      <protection/>
    </xf>
    <xf numFmtId="38" fontId="6" fillId="44" borderId="126" xfId="71" applyNumberFormat="1" applyFont="1" applyFill="1" applyBorder="1" applyAlignment="1" applyProtection="1">
      <alignment horizontal="center"/>
      <protection/>
    </xf>
    <xf numFmtId="38" fontId="6" fillId="44" borderId="44" xfId="71" applyNumberFormat="1" applyFont="1" applyFill="1" applyBorder="1" applyAlignment="1" applyProtection="1">
      <alignment horizontal="center"/>
      <protection/>
    </xf>
    <xf numFmtId="38" fontId="6" fillId="44" borderId="136" xfId="71" applyNumberFormat="1" applyFont="1" applyFill="1" applyBorder="1" applyAlignment="1" applyProtection="1">
      <alignment horizontal="center"/>
      <protection/>
    </xf>
    <xf numFmtId="38" fontId="6" fillId="44" borderId="54" xfId="71" applyNumberFormat="1" applyFont="1" applyFill="1" applyBorder="1" applyAlignment="1" applyProtection="1">
      <alignment horizontal="center"/>
      <protection/>
    </xf>
    <xf numFmtId="38" fontId="6" fillId="44" borderId="40" xfId="71" applyNumberFormat="1" applyFont="1" applyFill="1" applyBorder="1" applyAlignment="1" applyProtection="1">
      <alignment horizontal="center"/>
      <protection/>
    </xf>
    <xf numFmtId="38" fontId="6" fillId="44" borderId="137" xfId="71" applyNumberFormat="1" applyFont="1" applyFill="1" applyBorder="1" applyAlignment="1" applyProtection="1">
      <alignment horizontal="center"/>
      <protection/>
    </xf>
    <xf numFmtId="38" fontId="6" fillId="44" borderId="64" xfId="71" applyNumberFormat="1" applyFont="1" applyFill="1" applyBorder="1" applyAlignment="1" applyProtection="1">
      <alignment horizontal="center"/>
      <protection/>
    </xf>
    <xf numFmtId="38" fontId="6" fillId="44" borderId="116" xfId="71" applyNumberFormat="1" applyFont="1" applyFill="1" applyBorder="1" applyAlignment="1" applyProtection="1">
      <alignment horizontal="center"/>
      <protection/>
    </xf>
    <xf numFmtId="0" fontId="30" fillId="35" borderId="45" xfId="61" applyFont="1" applyFill="1" applyBorder="1" applyAlignment="1" applyProtection="1">
      <alignment horizontal="center"/>
      <protection/>
    </xf>
    <xf numFmtId="0" fontId="30" fillId="35" borderId="59" xfId="61" applyFont="1" applyFill="1" applyBorder="1" applyAlignment="1" applyProtection="1">
      <alignment horizontal="center"/>
      <protection/>
    </xf>
    <xf numFmtId="0" fontId="30" fillId="35" borderId="81" xfId="61" applyFont="1" applyFill="1" applyBorder="1" applyAlignment="1" applyProtection="1">
      <alignment horizontal="center"/>
      <protection/>
    </xf>
    <xf numFmtId="0" fontId="30" fillId="35" borderId="132" xfId="61" applyFont="1" applyFill="1" applyBorder="1" applyAlignment="1" applyProtection="1">
      <alignment horizontal="center"/>
      <protection/>
    </xf>
    <xf numFmtId="0" fontId="30" fillId="35" borderId="69" xfId="61" applyFont="1" applyFill="1" applyBorder="1" applyAlignment="1" applyProtection="1">
      <alignment horizontal="center"/>
      <protection/>
    </xf>
    <xf numFmtId="0" fontId="30" fillId="35" borderId="70" xfId="61" applyFont="1" applyFill="1" applyBorder="1" applyAlignment="1" applyProtection="1">
      <alignment horizontal="center"/>
      <protection/>
    </xf>
    <xf numFmtId="38" fontId="12" fillId="44" borderId="45" xfId="71" applyNumberFormat="1" applyFont="1" applyFill="1" applyBorder="1" applyAlignment="1" applyProtection="1">
      <alignment horizontal="center"/>
      <protection/>
    </xf>
    <xf numFmtId="38" fontId="12" fillId="44" borderId="59" xfId="71" applyNumberFormat="1" applyFont="1" applyFill="1" applyBorder="1" applyAlignment="1" applyProtection="1">
      <alignment horizontal="center"/>
      <protection/>
    </xf>
    <xf numFmtId="38" fontId="12" fillId="44" borderId="81" xfId="71" applyNumberFormat="1" applyFont="1" applyFill="1" applyBorder="1" applyAlignment="1" applyProtection="1">
      <alignment horizontal="center"/>
      <protection/>
    </xf>
    <xf numFmtId="38" fontId="9" fillId="35" borderId="132" xfId="71" applyNumberFormat="1" applyFont="1" applyFill="1" applyBorder="1" applyAlignment="1" applyProtection="1">
      <alignment horizontal="center"/>
      <protection/>
    </xf>
    <xf numFmtId="38" fontId="9" fillId="35" borderId="69" xfId="71" applyNumberFormat="1" applyFont="1" applyFill="1" applyBorder="1" applyAlignment="1" applyProtection="1">
      <alignment horizontal="center"/>
      <protection/>
    </xf>
    <xf numFmtId="38" fontId="9" fillId="35" borderId="70" xfId="71" applyNumberFormat="1" applyFont="1" applyFill="1" applyBorder="1" applyAlignment="1" applyProtection="1">
      <alignment horizontal="center"/>
      <protection/>
    </xf>
    <xf numFmtId="3" fontId="98" fillId="35" borderId="137" xfId="61" applyNumberFormat="1" applyFont="1" applyFill="1" applyBorder="1" applyAlignment="1" applyProtection="1">
      <alignment horizontal="center"/>
      <protection/>
    </xf>
    <xf numFmtId="3" fontId="98" fillId="35" borderId="64" xfId="61" applyNumberFormat="1" applyFont="1" applyFill="1" applyBorder="1" applyAlignment="1" applyProtection="1">
      <alignment horizontal="center"/>
      <protection/>
    </xf>
    <xf numFmtId="3" fontId="98" fillId="35" borderId="116" xfId="61" applyNumberFormat="1" applyFont="1" applyFill="1" applyBorder="1" applyAlignment="1" applyProtection="1">
      <alignment horizontal="center"/>
      <protection/>
    </xf>
    <xf numFmtId="38" fontId="112" fillId="35" borderId="17" xfId="71" applyNumberFormat="1" applyFont="1" applyFill="1" applyBorder="1" applyAlignment="1" applyProtection="1">
      <alignment horizontal="left"/>
      <protection/>
    </xf>
    <xf numFmtId="38" fontId="112" fillId="35" borderId="0" xfId="71" applyNumberFormat="1" applyFont="1" applyFill="1" applyBorder="1" applyAlignment="1" applyProtection="1">
      <alignment horizontal="left"/>
      <protection/>
    </xf>
    <xf numFmtId="38" fontId="112" fillId="35" borderId="22" xfId="71" applyNumberFormat="1" applyFont="1" applyFill="1" applyBorder="1" applyAlignment="1" applyProtection="1">
      <alignment horizontal="left"/>
      <protection/>
    </xf>
    <xf numFmtId="38" fontId="9" fillId="35" borderId="176" xfId="71" applyNumberFormat="1" applyFont="1" applyFill="1" applyBorder="1" applyAlignment="1" applyProtection="1">
      <alignment horizontal="left"/>
      <protection/>
    </xf>
    <xf numFmtId="38" fontId="9" fillId="35" borderId="126" xfId="71" applyNumberFormat="1" applyFont="1" applyFill="1" applyBorder="1" applyAlignment="1" applyProtection="1">
      <alignment horizontal="left"/>
      <protection/>
    </xf>
    <xf numFmtId="38" fontId="9" fillId="35" borderId="44" xfId="71" applyNumberFormat="1" applyFont="1" applyFill="1" applyBorder="1" applyAlignment="1" applyProtection="1">
      <alignment horizontal="left"/>
      <protection/>
    </xf>
    <xf numFmtId="38" fontId="9" fillId="35" borderId="17" xfId="71" applyNumberFormat="1" applyFont="1" applyFill="1" applyBorder="1" applyAlignment="1" applyProtection="1">
      <alignment horizontal="left"/>
      <protection/>
    </xf>
    <xf numFmtId="38" fontId="9" fillId="35" borderId="0" xfId="71" applyNumberFormat="1" applyFont="1" applyFill="1" applyBorder="1" applyAlignment="1" applyProtection="1">
      <alignment horizontal="left"/>
      <protection/>
    </xf>
    <xf numFmtId="38" fontId="9" fillId="35" borderId="22" xfId="71" applyNumberFormat="1" applyFont="1" applyFill="1" applyBorder="1" applyAlignment="1" applyProtection="1">
      <alignment horizontal="left"/>
      <protection/>
    </xf>
    <xf numFmtId="0" fontId="30" fillId="42" borderId="23" xfId="0" applyFont="1" applyFill="1" applyBorder="1" applyAlignment="1" applyProtection="1">
      <alignment horizontal="center" vertical="center"/>
      <protection/>
    </xf>
    <xf numFmtId="209" fontId="14" fillId="42" borderId="23" xfId="58" applyNumberFormat="1" applyFont="1" applyFill="1" applyBorder="1" applyAlignment="1" applyProtection="1">
      <alignment horizontal="center" vertical="center"/>
      <protection locked="0"/>
    </xf>
    <xf numFmtId="38" fontId="6" fillId="35" borderId="136" xfId="71" applyNumberFormat="1" applyFont="1" applyFill="1" applyBorder="1" applyAlignment="1" applyProtection="1">
      <alignment horizontal="center"/>
      <protection/>
    </xf>
    <xf numFmtId="38" fontId="6" fillId="35" borderId="54" xfId="71" applyNumberFormat="1" applyFont="1" applyFill="1" applyBorder="1" applyAlignment="1" applyProtection="1">
      <alignment horizontal="center"/>
      <protection/>
    </xf>
    <xf numFmtId="38" fontId="6" fillId="35" borderId="40" xfId="71" applyNumberFormat="1" applyFont="1" applyFill="1" applyBorder="1" applyAlignment="1" applyProtection="1">
      <alignment horizontal="center"/>
      <protection/>
    </xf>
    <xf numFmtId="209" fontId="192" fillId="35" borderId="23" xfId="64" applyNumberFormat="1" applyFont="1" applyFill="1" applyBorder="1" applyAlignment="1" applyProtection="1">
      <alignment horizontal="center" vertical="center"/>
      <protection/>
    </xf>
    <xf numFmtId="185" fontId="202" fillId="35" borderId="23" xfId="58" applyNumberFormat="1" applyFont="1" applyFill="1" applyBorder="1" applyAlignment="1" applyProtection="1">
      <alignment horizontal="center" vertical="center"/>
      <protection/>
    </xf>
    <xf numFmtId="185" fontId="134" fillId="35" borderId="23" xfId="58" applyNumberFormat="1" applyFont="1" applyFill="1" applyBorder="1" applyAlignment="1" applyProtection="1">
      <alignment horizontal="center" vertical="center"/>
      <protection/>
    </xf>
    <xf numFmtId="208" fontId="40" fillId="35" borderId="41" xfId="61" applyNumberFormat="1" applyFont="1" applyFill="1" applyBorder="1" applyAlignment="1" applyProtection="1">
      <alignment/>
      <protection/>
    </xf>
    <xf numFmtId="208" fontId="30" fillId="35" borderId="41" xfId="61" applyNumberFormat="1" applyFont="1" applyFill="1" applyBorder="1" applyAlignment="1" applyProtection="1">
      <alignment/>
      <protection/>
    </xf>
    <xf numFmtId="208" fontId="118" fillId="44" borderId="49" xfId="61" applyNumberFormat="1" applyFont="1" applyFill="1" applyBorder="1" applyAlignment="1" applyProtection="1">
      <alignment/>
      <protection/>
    </xf>
    <xf numFmtId="208" fontId="48" fillId="44" borderId="49" xfId="61" applyNumberFormat="1" applyFont="1" applyFill="1" applyBorder="1" applyAlignment="1" applyProtection="1">
      <alignment/>
      <protection/>
    </xf>
    <xf numFmtId="208" fontId="118" fillId="44" borderId="41" xfId="61" applyNumberFormat="1" applyFont="1" applyFill="1" applyBorder="1" applyAlignment="1" applyProtection="1">
      <alignment/>
      <protection/>
    </xf>
    <xf numFmtId="208" fontId="48" fillId="44" borderId="41" xfId="61" applyNumberFormat="1" applyFont="1" applyFill="1" applyBorder="1" applyAlignment="1" applyProtection="1">
      <alignment/>
      <protection/>
    </xf>
    <xf numFmtId="208" fontId="118" fillId="44" borderId="46" xfId="61" applyNumberFormat="1" applyFont="1" applyFill="1" applyBorder="1" applyAlignment="1" applyProtection="1">
      <alignment/>
      <protection/>
    </xf>
    <xf numFmtId="208" fontId="48" fillId="44" borderId="46" xfId="61" applyNumberFormat="1" applyFont="1" applyFill="1" applyBorder="1" applyAlignment="1" applyProtection="1">
      <alignment/>
      <protection/>
    </xf>
    <xf numFmtId="208" fontId="40" fillId="35" borderId="46" xfId="61" applyNumberFormat="1" applyFont="1" applyFill="1" applyBorder="1" applyAlignment="1" applyProtection="1">
      <alignment/>
      <protection/>
    </xf>
    <xf numFmtId="208" fontId="30" fillId="35" borderId="46" xfId="61" applyNumberFormat="1" applyFont="1" applyFill="1" applyBorder="1" applyAlignment="1" applyProtection="1">
      <alignment/>
      <protection/>
    </xf>
    <xf numFmtId="208" fontId="118" fillId="44" borderId="37" xfId="61" applyNumberFormat="1" applyFont="1" applyFill="1" applyBorder="1" applyAlignment="1" applyProtection="1">
      <alignment/>
      <protection/>
    </xf>
    <xf numFmtId="208" fontId="48" fillId="44" borderId="37" xfId="61" applyNumberFormat="1" applyFont="1" applyFill="1" applyBorder="1" applyAlignment="1" applyProtection="1">
      <alignment/>
      <protection/>
    </xf>
    <xf numFmtId="208" fontId="118" fillId="44" borderId="161" xfId="61" applyNumberFormat="1" applyFont="1" applyFill="1" applyBorder="1" applyAlignment="1" applyProtection="1">
      <alignment/>
      <protection/>
    </xf>
    <xf numFmtId="199" fontId="152" fillId="35" borderId="23" xfId="61" applyNumberFormat="1" applyFont="1" applyFill="1" applyBorder="1" applyAlignment="1" applyProtection="1">
      <alignment horizontal="center"/>
      <protection/>
    </xf>
    <xf numFmtId="3" fontId="82" fillId="35" borderId="0" xfId="0" applyNumberFormat="1" applyFont="1" applyFill="1" applyAlignment="1" applyProtection="1">
      <alignment/>
      <protection/>
    </xf>
    <xf numFmtId="3" fontId="82" fillId="35" borderId="126" xfId="0" applyNumberFormat="1" applyFont="1" applyFill="1" applyBorder="1" applyAlignment="1" applyProtection="1">
      <alignment/>
      <protection/>
    </xf>
    <xf numFmtId="0" fontId="6" fillId="35" borderId="0" xfId="58" applyFont="1" applyFill="1" applyAlignment="1" applyProtection="1">
      <alignment horizontal="right" vertical="center"/>
      <protection/>
    </xf>
    <xf numFmtId="209" fontId="14" fillId="42" borderId="23" xfId="58" applyNumberFormat="1" applyFont="1" applyFill="1" applyBorder="1" applyAlignment="1" applyProtection="1">
      <alignment horizontal="center" vertical="center"/>
      <protection/>
    </xf>
    <xf numFmtId="208" fontId="30" fillId="35" borderId="182" xfId="61" applyNumberFormat="1" applyFont="1" applyFill="1" applyBorder="1" applyAlignment="1" applyProtection="1">
      <alignment/>
      <protection/>
    </xf>
    <xf numFmtId="208" fontId="40" fillId="42" borderId="0" xfId="61" applyNumberFormat="1" applyFont="1" applyFill="1" applyBorder="1" applyAlignment="1" applyProtection="1">
      <alignment horizontal="right"/>
      <protection/>
    </xf>
    <xf numFmtId="208" fontId="30" fillId="35" borderId="164" xfId="61" applyNumberFormat="1" applyFont="1" applyFill="1" applyBorder="1" applyAlignment="1" applyProtection="1">
      <alignment/>
      <protection/>
    </xf>
    <xf numFmtId="208" fontId="40" fillId="42" borderId="0" xfId="61" applyNumberFormat="1" applyFont="1" applyFill="1" applyBorder="1" applyAlignment="1" applyProtection="1">
      <alignment/>
      <protection/>
    </xf>
    <xf numFmtId="208" fontId="40" fillId="35" borderId="186" xfId="61" applyNumberFormat="1" applyFont="1" applyFill="1" applyBorder="1" applyAlignment="1" applyProtection="1">
      <alignment/>
      <protection/>
    </xf>
    <xf numFmtId="0" fontId="40" fillId="44" borderId="177" xfId="0" applyFont="1" applyFill="1" applyBorder="1" applyAlignment="1" applyProtection="1">
      <alignment horizontal="left"/>
      <protection/>
    </xf>
    <xf numFmtId="14" fontId="68" fillId="42" borderId="23" xfId="63" applyNumberFormat="1" applyFont="1" applyFill="1" applyBorder="1" applyAlignment="1" applyProtection="1">
      <alignment horizontal="center" vertical="center"/>
      <protection/>
    </xf>
    <xf numFmtId="49" fontId="167" fillId="45" borderId="23" xfId="58" applyNumberFormat="1" applyFont="1" applyFill="1" applyBorder="1" applyAlignment="1" applyProtection="1">
      <alignment horizontal="center" vertical="center"/>
      <protection/>
    </xf>
    <xf numFmtId="49" fontId="167" fillId="42" borderId="23" xfId="58" applyNumberFormat="1" applyFont="1" applyFill="1" applyBorder="1" applyAlignment="1" applyProtection="1">
      <alignment horizontal="center" vertical="center"/>
      <protection locked="0"/>
    </xf>
    <xf numFmtId="49" fontId="167" fillId="42" borderId="23" xfId="58" applyNumberFormat="1" applyFont="1" applyFill="1" applyBorder="1" applyAlignment="1" applyProtection="1">
      <alignment horizontal="center" vertical="center"/>
      <protection/>
    </xf>
    <xf numFmtId="0" fontId="167" fillId="45" borderId="23" xfId="58" applyNumberFormat="1" applyFont="1" applyFill="1" applyBorder="1" applyAlignment="1" applyProtection="1">
      <alignment horizontal="center" vertical="center"/>
      <protection/>
    </xf>
    <xf numFmtId="0" fontId="14" fillId="53" borderId="0" xfId="58" applyFont="1" applyFill="1" applyAlignment="1">
      <alignment vertical="center"/>
      <protection/>
    </xf>
    <xf numFmtId="49" fontId="62" fillId="42" borderId="48" xfId="58" applyNumberFormat="1" applyFont="1" applyFill="1" applyBorder="1" applyAlignment="1" quotePrefix="1">
      <alignment horizontal="center"/>
      <protection/>
    </xf>
    <xf numFmtId="49" fontId="62" fillId="42" borderId="41" xfId="58" applyNumberFormat="1" applyFont="1" applyFill="1" applyBorder="1" applyAlignment="1" quotePrefix="1">
      <alignment horizontal="center"/>
      <protection/>
    </xf>
    <xf numFmtId="49" fontId="62" fillId="42" borderId="43" xfId="58" applyNumberFormat="1" applyFont="1" applyFill="1" applyBorder="1" applyAlignment="1" quotePrefix="1">
      <alignment horizontal="center"/>
      <protection/>
    </xf>
    <xf numFmtId="49" fontId="69" fillId="42" borderId="47" xfId="58" applyNumberFormat="1" applyFont="1" applyFill="1" applyBorder="1" applyAlignment="1" quotePrefix="1">
      <alignment horizontal="center"/>
      <protection/>
    </xf>
    <xf numFmtId="49" fontId="69" fillId="42" borderId="41" xfId="58" applyNumberFormat="1" applyFont="1" applyFill="1" applyBorder="1" applyAlignment="1" quotePrefix="1">
      <alignment horizontal="center"/>
      <protection/>
    </xf>
    <xf numFmtId="49" fontId="65" fillId="42" borderId="81" xfId="58" applyNumberFormat="1" applyFont="1" applyFill="1" applyBorder="1" applyAlignment="1">
      <alignment horizontal="center"/>
      <protection/>
    </xf>
    <xf numFmtId="49" fontId="93" fillId="35" borderId="23" xfId="58" applyNumberFormat="1" applyFont="1" applyFill="1" applyBorder="1" applyAlignment="1" applyProtection="1">
      <alignment horizontal="center" vertical="center"/>
      <protection/>
    </xf>
    <xf numFmtId="0" fontId="12" fillId="54" borderId="0" xfId="69" applyFont="1" applyFill="1" applyBorder="1">
      <alignment/>
      <protection/>
    </xf>
    <xf numFmtId="0" fontId="12" fillId="54" borderId="0" xfId="69" applyFont="1" applyFill="1" applyBorder="1" applyAlignment="1" quotePrefix="1">
      <alignment horizontal="left"/>
      <protection/>
    </xf>
    <xf numFmtId="0" fontId="12" fillId="54" borderId="0" xfId="69" applyFont="1" applyFill="1" applyBorder="1" applyAlignment="1" quotePrefix="1">
      <alignment horizontal="left"/>
      <protection/>
    </xf>
    <xf numFmtId="0" fontId="12" fillId="54" borderId="0" xfId="69" applyFont="1" applyFill="1" applyBorder="1">
      <alignment/>
      <protection/>
    </xf>
    <xf numFmtId="0" fontId="12" fillId="54" borderId="0" xfId="69" applyFont="1" applyFill="1" applyBorder="1" applyAlignment="1">
      <alignment horizontal="left"/>
      <protection/>
    </xf>
    <xf numFmtId="0" fontId="12" fillId="54" borderId="0" xfId="69" applyFont="1" applyFill="1" applyBorder="1" applyAlignment="1">
      <alignment horizontal="left"/>
      <protection/>
    </xf>
    <xf numFmtId="0" fontId="16" fillId="54" borderId="0" xfId="69" applyFont="1" applyFill="1" applyBorder="1">
      <alignment/>
      <protection/>
    </xf>
    <xf numFmtId="0" fontId="16" fillId="54" borderId="0" xfId="69" applyFont="1" applyFill="1" applyBorder="1" applyAlignment="1" quotePrefix="1">
      <alignment horizontal="left"/>
      <protection/>
    </xf>
    <xf numFmtId="0" fontId="12" fillId="54" borderId="0" xfId="66" applyFont="1" applyFill="1" applyBorder="1" applyAlignment="1">
      <alignment horizontal="left"/>
      <protection/>
    </xf>
    <xf numFmtId="0" fontId="12" fillId="54" borderId="0" xfId="66" applyFont="1" applyFill="1" applyBorder="1" applyAlignment="1">
      <alignment horizontal="left"/>
      <protection/>
    </xf>
    <xf numFmtId="0" fontId="12" fillId="54" borderId="0" xfId="69" applyFont="1" applyFill="1" applyBorder="1" applyAlignment="1" quotePrefix="1">
      <alignment horizontal="left"/>
      <protection/>
    </xf>
    <xf numFmtId="0" fontId="16" fillId="54" borderId="0" xfId="69" applyFont="1" applyFill="1" applyBorder="1" applyAlignment="1">
      <alignment horizontal="left"/>
      <protection/>
    </xf>
    <xf numFmtId="0" fontId="12" fillId="54" borderId="0" xfId="69" applyFont="1" applyFill="1" applyBorder="1">
      <alignment/>
      <protection/>
    </xf>
    <xf numFmtId="0" fontId="12" fillId="54" borderId="0" xfId="69" applyFont="1" applyFill="1" applyBorder="1" applyAlignment="1">
      <alignment horizontal="left"/>
      <protection/>
    </xf>
    <xf numFmtId="190" fontId="60" fillId="54" borderId="0" xfId="69" applyNumberFormat="1" applyFont="1" applyFill="1" applyBorder="1" applyAlignment="1" quotePrefix="1">
      <alignment horizontal="right"/>
      <protection/>
    </xf>
    <xf numFmtId="190" fontId="61" fillId="54" borderId="0" xfId="69" applyNumberFormat="1" applyFont="1" applyFill="1" applyBorder="1" applyAlignment="1" quotePrefix="1">
      <alignment horizontal="right"/>
      <protection/>
    </xf>
    <xf numFmtId="190" fontId="60" fillId="54" borderId="0" xfId="69" applyNumberFormat="1" applyFont="1" applyFill="1" applyBorder="1" applyAlignment="1">
      <alignment horizontal="right"/>
      <protection/>
    </xf>
    <xf numFmtId="0" fontId="27" fillId="54" borderId="0" xfId="58" applyFont="1" applyFill="1" applyBorder="1">
      <alignment/>
      <protection/>
    </xf>
    <xf numFmtId="0" fontId="26" fillId="54" borderId="0" xfId="58" applyFont="1" applyFill="1" applyBorder="1">
      <alignment/>
      <protection/>
    </xf>
    <xf numFmtId="0" fontId="27" fillId="54" borderId="23" xfId="58" applyNumberFormat="1" applyFont="1" applyFill="1" applyBorder="1" applyProtection="1">
      <alignment/>
      <protection locked="0"/>
    </xf>
    <xf numFmtId="49" fontId="0" fillId="55" borderId="23" xfId="0" applyNumberFormat="1" applyFont="1" applyFill="1" applyBorder="1" applyAlignment="1">
      <alignment/>
    </xf>
    <xf numFmtId="49" fontId="0" fillId="56" borderId="23" xfId="0" applyNumberFormat="1" applyFont="1" applyFill="1" applyBorder="1" applyAlignment="1">
      <alignment/>
    </xf>
    <xf numFmtId="49" fontId="0" fillId="57" borderId="23" xfId="0" applyNumberFormat="1" applyFont="1" applyFill="1" applyBorder="1" applyAlignment="1">
      <alignment/>
    </xf>
    <xf numFmtId="49" fontId="27" fillId="54" borderId="23" xfId="58" applyNumberFormat="1" applyFont="1" applyFill="1" applyBorder="1" applyProtection="1">
      <alignment/>
      <protection locked="0"/>
    </xf>
    <xf numFmtId="49" fontId="62" fillId="54" borderId="48" xfId="58" applyNumberFormat="1" applyFont="1" applyFill="1" applyBorder="1" applyAlignment="1" quotePrefix="1">
      <alignment horizontal="center"/>
      <protection/>
    </xf>
    <xf numFmtId="49" fontId="62" fillId="54" borderId="41" xfId="58" applyNumberFormat="1" applyFont="1" applyFill="1" applyBorder="1" applyAlignment="1" quotePrefix="1">
      <alignment horizontal="center"/>
      <protection/>
    </xf>
    <xf numFmtId="49" fontId="62" fillId="54" borderId="41" xfId="58" applyNumberFormat="1" applyFont="1" applyFill="1" applyBorder="1" applyAlignment="1" quotePrefix="1">
      <alignment horizontal="center" vertical="center"/>
      <protection/>
    </xf>
    <xf numFmtId="49" fontId="62" fillId="54" borderId="41" xfId="58" applyNumberFormat="1" applyFont="1" applyFill="1" applyBorder="1" applyAlignment="1" quotePrefix="1">
      <alignment horizontal="center"/>
      <protection/>
    </xf>
    <xf numFmtId="49" fontId="62" fillId="54" borderId="42" xfId="58" applyNumberFormat="1" applyFont="1" applyFill="1" applyBorder="1" applyAlignment="1" quotePrefix="1">
      <alignment horizontal="center"/>
      <protection/>
    </xf>
    <xf numFmtId="49" fontId="63" fillId="54" borderId="42" xfId="58" applyNumberFormat="1" applyFont="1" applyFill="1" applyBorder="1" applyAlignment="1" quotePrefix="1">
      <alignment horizontal="center"/>
      <protection/>
    </xf>
    <xf numFmtId="49" fontId="62" fillId="54" borderId="43" xfId="58" applyNumberFormat="1" applyFont="1" applyFill="1" applyBorder="1" applyAlignment="1" quotePrefix="1">
      <alignment horizontal="center"/>
      <protection/>
    </xf>
    <xf numFmtId="49" fontId="69" fillId="54" borderId="41" xfId="58" applyNumberFormat="1" applyFont="1" applyFill="1" applyBorder="1" applyAlignment="1" quotePrefix="1">
      <alignment horizontal="center"/>
      <protection/>
    </xf>
    <xf numFmtId="49" fontId="72" fillId="54" borderId="42" xfId="58" applyNumberFormat="1" applyFont="1" applyFill="1" applyBorder="1" applyAlignment="1" quotePrefix="1">
      <alignment horizontal="center"/>
      <protection/>
    </xf>
    <xf numFmtId="49" fontId="69" fillId="42" borderId="46" xfId="58" applyNumberFormat="1" applyFont="1" applyFill="1" applyBorder="1" applyAlignment="1" quotePrefix="1">
      <alignment horizontal="center"/>
      <protection/>
    </xf>
    <xf numFmtId="49" fontId="62" fillId="42" borderId="46" xfId="58" applyNumberFormat="1" applyFont="1" applyFill="1" applyBorder="1" applyAlignment="1" quotePrefix="1">
      <alignment horizontal="center"/>
      <protection/>
    </xf>
    <xf numFmtId="49" fontId="62" fillId="42" borderId="47" xfId="58" applyNumberFormat="1" applyFont="1" applyFill="1" applyBorder="1" applyAlignment="1" quotePrefix="1">
      <alignment horizontal="center"/>
      <protection/>
    </xf>
    <xf numFmtId="49" fontId="63" fillId="42" borderId="41" xfId="58" applyNumberFormat="1" applyFont="1" applyFill="1" applyBorder="1" applyAlignment="1" quotePrefix="1">
      <alignment horizontal="center"/>
      <protection/>
    </xf>
    <xf numFmtId="49" fontId="27" fillId="54" borderId="0" xfId="58" applyNumberFormat="1" applyFont="1" applyFill="1" applyBorder="1">
      <alignment/>
      <protection/>
    </xf>
    <xf numFmtId="0" fontId="203" fillId="0" borderId="23" xfId="60" applyFont="1" applyFill="1" applyBorder="1">
      <alignment/>
      <protection/>
    </xf>
    <xf numFmtId="14" fontId="203" fillId="54" borderId="23" xfId="60" applyNumberFormat="1" applyFont="1" applyFill="1" applyBorder="1" applyAlignment="1">
      <alignment horizontal="left"/>
      <protection/>
    </xf>
    <xf numFmtId="0" fontId="203" fillId="56" borderId="23" xfId="60" applyFont="1" applyFill="1" applyBorder="1">
      <alignment/>
      <protection/>
    </xf>
    <xf numFmtId="49" fontId="189" fillId="0" borderId="23" xfId="58" applyNumberFormat="1" applyFont="1" applyFill="1" applyBorder="1" applyAlignment="1" applyProtection="1">
      <alignment horizontal="center" vertical="center"/>
      <protection hidden="1"/>
    </xf>
    <xf numFmtId="49" fontId="189" fillId="35" borderId="59" xfId="0" applyNumberFormat="1" applyFont="1" applyFill="1" applyBorder="1" applyAlignment="1" applyProtection="1">
      <alignment vertical="center" wrapText="1"/>
      <protection/>
    </xf>
    <xf numFmtId="49" fontId="94" fillId="43" borderId="60" xfId="58" applyNumberFormat="1" applyFont="1" applyFill="1" applyBorder="1" applyAlignment="1" applyProtection="1">
      <alignment horizontal="center" vertical="center" wrapText="1"/>
      <protection/>
    </xf>
    <xf numFmtId="0" fontId="151" fillId="42" borderId="78" xfId="0" applyFont="1" applyFill="1" applyBorder="1" applyAlignment="1" applyProtection="1">
      <alignment horizontal="center" vertical="center" wrapText="1"/>
      <protection/>
    </xf>
    <xf numFmtId="0" fontId="151" fillId="42" borderId="23" xfId="0" applyFont="1" applyFill="1" applyBorder="1" applyAlignment="1" applyProtection="1">
      <alignment horizontal="center" vertical="center" wrapText="1"/>
      <protection/>
    </xf>
    <xf numFmtId="0" fontId="151" fillId="42" borderId="21" xfId="0" applyFont="1" applyFill="1" applyBorder="1" applyAlignment="1" applyProtection="1">
      <alignment horizontal="center" vertical="center" wrapText="1"/>
      <protection/>
    </xf>
    <xf numFmtId="190" fontId="249" fillId="0" borderId="0" xfId="60" applyNumberFormat="1">
      <alignment/>
      <protection/>
    </xf>
    <xf numFmtId="3" fontId="40" fillId="45" borderId="102" xfId="0" applyNumberFormat="1" applyFont="1" applyFill="1" applyBorder="1" applyAlignment="1" applyProtection="1">
      <alignment/>
      <protection/>
    </xf>
    <xf numFmtId="3" fontId="40" fillId="45" borderId="103" xfId="0" applyNumberFormat="1" applyFont="1" applyFill="1" applyBorder="1" applyAlignment="1" applyProtection="1">
      <alignment/>
      <protection/>
    </xf>
    <xf numFmtId="3" fontId="40" fillId="45" borderId="104" xfId="0" applyNumberFormat="1" applyFont="1" applyFill="1" applyBorder="1" applyAlignment="1" applyProtection="1">
      <alignment/>
      <protection/>
    </xf>
    <xf numFmtId="0" fontId="30" fillId="35" borderId="187" xfId="0" applyFont="1" applyFill="1" applyBorder="1" applyAlignment="1" applyProtection="1" quotePrefix="1">
      <alignment horizontal="left"/>
      <protection/>
    </xf>
    <xf numFmtId="0" fontId="30" fillId="35" borderId="187" xfId="0" applyFont="1" applyFill="1" applyBorder="1" applyAlignment="1" applyProtection="1">
      <alignment horizontal="left"/>
      <protection/>
    </xf>
    <xf numFmtId="3" fontId="30" fillId="35" borderId="187" xfId="0" applyNumberFormat="1" applyFont="1" applyFill="1" applyBorder="1" applyAlignment="1" applyProtection="1">
      <alignment/>
      <protection/>
    </xf>
    <xf numFmtId="3" fontId="30" fillId="35" borderId="188" xfId="0" applyNumberFormat="1" applyFont="1" applyFill="1" applyBorder="1" applyAlignment="1" applyProtection="1">
      <alignment/>
      <protection/>
    </xf>
    <xf numFmtId="3" fontId="30" fillId="35" borderId="189" xfId="0" applyNumberFormat="1" applyFont="1" applyFill="1" applyBorder="1" applyAlignment="1" applyProtection="1">
      <alignment/>
      <protection/>
    </xf>
    <xf numFmtId="3" fontId="30" fillId="35" borderId="190" xfId="0" applyNumberFormat="1" applyFont="1" applyFill="1" applyBorder="1" applyAlignment="1" applyProtection="1">
      <alignment/>
      <protection/>
    </xf>
    <xf numFmtId="0" fontId="30" fillId="42" borderId="191" xfId="0" applyFont="1" applyFill="1" applyBorder="1" applyAlignment="1" applyProtection="1">
      <alignment horizontal="left"/>
      <protection/>
    </xf>
    <xf numFmtId="0" fontId="30" fillId="35" borderId="192" xfId="0" applyFont="1" applyFill="1" applyBorder="1" applyAlignment="1" applyProtection="1">
      <alignment horizontal="left"/>
      <protection/>
    </xf>
    <xf numFmtId="3" fontId="99" fillId="42" borderId="192" xfId="58" applyNumberFormat="1" applyFont="1" applyFill="1" applyBorder="1" applyAlignment="1" applyProtection="1">
      <alignment horizontal="right" vertical="center"/>
      <protection/>
    </xf>
    <xf numFmtId="3" fontId="99" fillId="42" borderId="193" xfId="58" applyNumberFormat="1" applyFont="1" applyFill="1" applyBorder="1" applyAlignment="1" applyProtection="1">
      <alignment horizontal="right" vertical="center"/>
      <protection/>
    </xf>
    <xf numFmtId="0" fontId="30" fillId="42" borderId="107" xfId="0" applyFont="1" applyFill="1" applyBorder="1" applyAlignment="1" applyProtection="1">
      <alignment horizontal="left"/>
      <protection/>
    </xf>
    <xf numFmtId="0" fontId="30" fillId="35" borderId="67" xfId="0" applyFont="1" applyFill="1" applyBorder="1" applyAlignment="1" applyProtection="1">
      <alignment horizontal="left"/>
      <protection/>
    </xf>
    <xf numFmtId="3" fontId="99" fillId="42" borderId="67" xfId="58" applyNumberFormat="1" applyFont="1" applyFill="1" applyBorder="1" applyAlignment="1" applyProtection="1">
      <alignment horizontal="right" vertical="center"/>
      <protection/>
    </xf>
    <xf numFmtId="3" fontId="99" fillId="42" borderId="108" xfId="58" applyNumberFormat="1" applyFont="1" applyFill="1" applyBorder="1" applyAlignment="1" applyProtection="1">
      <alignment horizontal="right" vertical="center"/>
      <protection/>
    </xf>
    <xf numFmtId="0" fontId="30" fillId="42" borderId="109" xfId="0" applyFont="1" applyFill="1" applyBorder="1" applyAlignment="1" applyProtection="1">
      <alignment horizontal="left"/>
      <protection/>
    </xf>
    <xf numFmtId="0" fontId="30" fillId="35" borderId="110" xfId="0" applyFont="1" applyFill="1" applyBorder="1" applyAlignment="1" applyProtection="1">
      <alignment horizontal="left"/>
      <protection/>
    </xf>
    <xf numFmtId="3" fontId="99" fillId="42" borderId="110" xfId="58" applyNumberFormat="1" applyFont="1" applyFill="1" applyBorder="1" applyAlignment="1" applyProtection="1">
      <alignment horizontal="right" vertical="center"/>
      <protection/>
    </xf>
    <xf numFmtId="3" fontId="99" fillId="42" borderId="111" xfId="58" applyNumberFormat="1" applyFont="1" applyFill="1" applyBorder="1" applyAlignment="1" applyProtection="1">
      <alignment horizontal="right" vertical="center"/>
      <protection/>
    </xf>
    <xf numFmtId="0" fontId="30" fillId="35" borderId="194" xfId="0" applyFont="1" applyFill="1" applyBorder="1" applyAlignment="1" applyProtection="1" quotePrefix="1">
      <alignment horizontal="left"/>
      <protection/>
    </xf>
    <xf numFmtId="0" fontId="30" fillId="35" borderId="195" xfId="0" applyFont="1" applyFill="1" applyBorder="1" applyAlignment="1" applyProtection="1" quotePrefix="1">
      <alignment horizontal="left"/>
      <protection/>
    </xf>
    <xf numFmtId="0" fontId="30" fillId="35" borderId="196" xfId="0" applyFont="1" applyFill="1" applyBorder="1" applyAlignment="1" applyProtection="1" quotePrefix="1">
      <alignment horizontal="left"/>
      <protection/>
    </xf>
    <xf numFmtId="3" fontId="99" fillId="42" borderId="197" xfId="58" applyNumberFormat="1" applyFont="1" applyFill="1" applyBorder="1" applyAlignment="1" applyProtection="1">
      <alignment horizontal="right" vertical="center"/>
      <protection/>
    </xf>
    <xf numFmtId="3" fontId="99" fillId="42" borderId="198" xfId="58" applyNumberFormat="1" applyFont="1" applyFill="1" applyBorder="1" applyAlignment="1" applyProtection="1">
      <alignment horizontal="right" vertical="center"/>
      <protection/>
    </xf>
    <xf numFmtId="3" fontId="99" fillId="42" borderId="199" xfId="58" applyNumberFormat="1" applyFont="1" applyFill="1" applyBorder="1" applyAlignment="1" applyProtection="1">
      <alignment horizontal="right" vertical="center"/>
      <protection/>
    </xf>
    <xf numFmtId="3" fontId="99" fillId="42" borderId="200" xfId="58" applyNumberFormat="1" applyFont="1" applyFill="1" applyBorder="1" applyAlignment="1" applyProtection="1">
      <alignment horizontal="right" vertical="center"/>
      <protection/>
    </xf>
    <xf numFmtId="3" fontId="99" fillId="42" borderId="121" xfId="58" applyNumberFormat="1" applyFont="1" applyFill="1" applyBorder="1" applyAlignment="1" applyProtection="1">
      <alignment horizontal="right" vertical="center"/>
      <protection/>
    </xf>
    <xf numFmtId="3" fontId="99" fillId="42" borderId="123" xfId="58" applyNumberFormat="1" applyFont="1" applyFill="1" applyBorder="1" applyAlignment="1" applyProtection="1">
      <alignment horizontal="right" vertical="center"/>
      <protection/>
    </xf>
    <xf numFmtId="0" fontId="249" fillId="37" borderId="0" xfId="60" applyFill="1" quotePrefix="1">
      <alignment/>
      <protection/>
    </xf>
    <xf numFmtId="188" fontId="69" fillId="37" borderId="0" xfId="58" applyNumberFormat="1" applyFont="1" applyFill="1" applyBorder="1" applyAlignment="1">
      <alignment horizontal="center"/>
      <protection/>
    </xf>
    <xf numFmtId="188" fontId="249" fillId="37" borderId="0" xfId="60" applyNumberFormat="1" applyFill="1" applyBorder="1">
      <alignment/>
      <protection/>
    </xf>
    <xf numFmtId="0" fontId="30" fillId="35" borderId="19" xfId="0" applyFont="1" applyFill="1" applyBorder="1" applyAlignment="1" applyProtection="1">
      <alignment horizontal="left"/>
      <protection/>
    </xf>
    <xf numFmtId="0" fontId="161" fillId="35" borderId="0" xfId="62" applyFont="1" applyFill="1" applyBorder="1" applyProtection="1">
      <alignment/>
      <protection/>
    </xf>
    <xf numFmtId="0" fontId="95" fillId="45" borderId="145" xfId="58" applyFont="1" applyFill="1" applyBorder="1" applyAlignment="1" applyProtection="1">
      <alignment horizontal="center" vertical="center"/>
      <protection/>
    </xf>
    <xf numFmtId="0" fontId="95" fillId="45" borderId="66" xfId="58" applyFont="1" applyFill="1" applyBorder="1" applyAlignment="1" applyProtection="1">
      <alignment horizontal="center" vertical="center"/>
      <protection/>
    </xf>
    <xf numFmtId="0" fontId="14" fillId="35" borderId="101" xfId="58" applyFont="1" applyFill="1" applyBorder="1" applyAlignment="1" applyProtection="1">
      <alignment horizontal="center"/>
      <protection/>
    </xf>
    <xf numFmtId="0" fontId="94" fillId="42" borderId="130" xfId="58" applyFont="1" applyFill="1" applyBorder="1" applyAlignment="1" applyProtection="1">
      <alignment horizontal="center" vertical="center"/>
      <protection/>
    </xf>
    <xf numFmtId="3" fontId="14" fillId="35" borderId="27" xfId="58" applyNumberFormat="1" applyFont="1" applyFill="1" applyBorder="1" applyAlignment="1" applyProtection="1">
      <alignment horizontal="right" vertical="center"/>
      <protection/>
    </xf>
    <xf numFmtId="3" fontId="14" fillId="35" borderId="26" xfId="58" applyNumberFormat="1" applyFont="1" applyFill="1" applyBorder="1" applyAlignment="1" applyProtection="1">
      <alignment horizontal="right" vertical="center"/>
      <protection/>
    </xf>
    <xf numFmtId="3" fontId="94" fillId="42" borderId="147" xfId="58" applyNumberFormat="1" applyFont="1" applyFill="1" applyBorder="1" applyAlignment="1" applyProtection="1">
      <alignment horizontal="center" vertical="center"/>
      <protection/>
    </xf>
    <xf numFmtId="3" fontId="94" fillId="42" borderId="131" xfId="58" applyNumberFormat="1" applyFont="1" applyFill="1" applyBorder="1" applyAlignment="1" applyProtection="1">
      <alignment horizontal="center" vertical="center"/>
      <protection/>
    </xf>
    <xf numFmtId="0" fontId="15" fillId="35" borderId="23" xfId="58" applyFont="1" applyFill="1" applyBorder="1" applyAlignment="1" applyProtection="1">
      <alignment horizontal="center" vertical="top"/>
      <protection/>
    </xf>
    <xf numFmtId="0" fontId="15" fillId="35" borderId="103" xfId="58" applyFont="1" applyFill="1" applyBorder="1" applyAlignment="1" applyProtection="1">
      <alignment horizontal="center" vertical="top"/>
      <protection/>
    </xf>
    <xf numFmtId="0" fontId="15" fillId="35" borderId="23" xfId="58" applyFont="1" applyFill="1" applyBorder="1" applyAlignment="1" applyProtection="1">
      <alignment horizontal="left" vertical="top" wrapText="1" indent="1"/>
      <protection/>
    </xf>
    <xf numFmtId="0" fontId="15" fillId="35" borderId="103" xfId="58" applyFont="1" applyFill="1" applyBorder="1" applyAlignment="1" applyProtection="1">
      <alignment horizontal="left" vertical="top" wrapText="1" indent="1"/>
      <protection/>
    </xf>
    <xf numFmtId="0" fontId="94" fillId="42" borderId="147" xfId="58" applyFont="1" applyFill="1" applyBorder="1" applyAlignment="1" applyProtection="1">
      <alignment horizontal="center" vertical="center"/>
      <protection/>
    </xf>
    <xf numFmtId="0" fontId="94" fillId="42" borderId="147" xfId="58" applyFont="1" applyFill="1" applyBorder="1" applyAlignment="1" applyProtection="1">
      <alignment horizontal="center" vertical="center" wrapText="1"/>
      <protection/>
    </xf>
    <xf numFmtId="38" fontId="6" fillId="44" borderId="59" xfId="71" applyNumberFormat="1" applyFont="1" applyFill="1" applyBorder="1" applyAlignment="1" applyProtection="1">
      <alignment/>
      <protection/>
    </xf>
    <xf numFmtId="38" fontId="6" fillId="44" borderId="81" xfId="71" applyNumberFormat="1" applyFont="1" applyFill="1" applyBorder="1" applyAlignment="1" applyProtection="1">
      <alignment/>
      <protection/>
    </xf>
    <xf numFmtId="208" fontId="48" fillId="44" borderId="33" xfId="61" applyNumberFormat="1" applyFont="1" applyFill="1" applyBorder="1" applyAlignment="1" applyProtection="1">
      <alignment/>
      <protection/>
    </xf>
    <xf numFmtId="208" fontId="118" fillId="44" borderId="33" xfId="61" applyNumberFormat="1" applyFont="1" applyFill="1" applyBorder="1" applyAlignment="1" applyProtection="1">
      <alignment/>
      <protection/>
    </xf>
    <xf numFmtId="208" fontId="40" fillId="44" borderId="161" xfId="61" applyNumberFormat="1" applyFont="1" applyFill="1" applyBorder="1" applyAlignment="1" applyProtection="1">
      <alignment/>
      <protection/>
    </xf>
    <xf numFmtId="38" fontId="204" fillId="44" borderId="45" xfId="71" applyNumberFormat="1" applyFont="1" applyFill="1" applyBorder="1" applyAlignment="1" applyProtection="1">
      <alignment/>
      <protection/>
    </xf>
    <xf numFmtId="187" fontId="205" fillId="35" borderId="17" xfId="66" applyNumberFormat="1" applyFont="1" applyFill="1" applyBorder="1" applyAlignment="1" quotePrefix="1">
      <alignment horizontal="center" vertical="center" wrapText="1"/>
      <protection/>
    </xf>
    <xf numFmtId="0" fontId="187" fillId="42" borderId="23" xfId="58" applyNumberFormat="1" applyFont="1" applyFill="1" applyBorder="1" applyAlignment="1" applyProtection="1">
      <alignment horizontal="center" vertical="center"/>
      <protection/>
    </xf>
    <xf numFmtId="0" fontId="205" fillId="35" borderId="17" xfId="66" applyNumberFormat="1" applyFont="1" applyFill="1" applyBorder="1" applyAlignment="1" quotePrefix="1">
      <alignment horizontal="center" vertical="center" wrapText="1"/>
      <protection/>
    </xf>
    <xf numFmtId="0" fontId="206" fillId="44" borderId="0" xfId="58" applyFont="1" applyFill="1" applyAlignment="1">
      <alignment vertical="center"/>
      <protection/>
    </xf>
    <xf numFmtId="0" fontId="207" fillId="44" borderId="0" xfId="58" applyFont="1" applyFill="1" applyAlignment="1">
      <alignment vertical="center"/>
      <protection/>
    </xf>
    <xf numFmtId="0" fontId="206" fillId="44" borderId="0" xfId="66" applyFont="1" applyFill="1" applyBorder="1">
      <alignment/>
      <protection/>
    </xf>
    <xf numFmtId="184" fontId="206" fillId="44" borderId="0" xfId="66" applyNumberFormat="1" applyFont="1" applyFill="1">
      <alignment/>
      <protection/>
    </xf>
    <xf numFmtId="0" fontId="206" fillId="44" borderId="0" xfId="58" applyFont="1" applyFill="1" applyBorder="1" applyAlignment="1">
      <alignment vertical="center"/>
      <protection/>
    </xf>
    <xf numFmtId="0" fontId="206" fillId="44" borderId="0" xfId="58" applyFont="1" applyFill="1">
      <alignment/>
      <protection/>
    </xf>
    <xf numFmtId="0" fontId="206" fillId="44" borderId="0" xfId="66" applyFont="1" applyFill="1">
      <alignment/>
      <protection/>
    </xf>
    <xf numFmtId="184" fontId="206" fillId="44" borderId="0" xfId="66" applyNumberFormat="1" applyFont="1" applyFill="1" applyBorder="1">
      <alignment/>
      <protection/>
    </xf>
    <xf numFmtId="184" fontId="207" fillId="44" borderId="0" xfId="66" applyNumberFormat="1" applyFont="1" applyFill="1" applyBorder="1">
      <alignment/>
      <protection/>
    </xf>
    <xf numFmtId="49" fontId="69" fillId="42" borderId="43" xfId="58" applyNumberFormat="1" applyFont="1" applyFill="1" applyBorder="1" applyAlignment="1" quotePrefix="1">
      <alignment horizontal="center"/>
      <protection/>
    </xf>
    <xf numFmtId="0" fontId="206" fillId="0" borderId="0" xfId="58" applyFont="1" applyAlignment="1" quotePrefix="1">
      <alignment vertical="center"/>
      <protection/>
    </xf>
    <xf numFmtId="38" fontId="6" fillId="35" borderId="136" xfId="71" applyNumberFormat="1" applyFont="1" applyFill="1" applyBorder="1" applyAlignment="1" applyProtection="1">
      <alignment horizontal="center"/>
      <protection/>
    </xf>
    <xf numFmtId="38" fontId="6" fillId="35" borderId="54" xfId="71" applyNumberFormat="1" applyFont="1" applyFill="1" applyBorder="1" applyAlignment="1" applyProtection="1">
      <alignment horizontal="center"/>
      <protection/>
    </xf>
    <xf numFmtId="38" fontId="6" fillId="35" borderId="40" xfId="71" applyNumberFormat="1" applyFont="1" applyFill="1" applyBorder="1" applyAlignment="1" applyProtection="1">
      <alignment horizontal="center"/>
      <protection/>
    </xf>
    <xf numFmtId="38" fontId="122" fillId="46" borderId="139" xfId="71" applyNumberFormat="1" applyFont="1" applyFill="1" applyBorder="1" applyAlignment="1" applyProtection="1">
      <alignment horizontal="center"/>
      <protection/>
    </xf>
    <xf numFmtId="38" fontId="122" fillId="46" borderId="61" xfId="71" applyNumberFormat="1" applyFont="1" applyFill="1" applyBorder="1" applyAlignment="1" applyProtection="1">
      <alignment horizontal="center"/>
      <protection/>
    </xf>
    <xf numFmtId="38" fontId="122" fillId="46" borderId="65" xfId="71" applyNumberFormat="1" applyFont="1" applyFill="1" applyBorder="1" applyAlignment="1" applyProtection="1">
      <alignment horizontal="center"/>
      <protection/>
    </xf>
    <xf numFmtId="0" fontId="40" fillId="44" borderId="177" xfId="61" applyFont="1" applyFill="1" applyBorder="1" applyAlignment="1" applyProtection="1">
      <alignment horizontal="center"/>
      <protection/>
    </xf>
    <xf numFmtId="0" fontId="40" fillId="44" borderId="162" xfId="61" applyFont="1" applyFill="1" applyBorder="1" applyAlignment="1" applyProtection="1">
      <alignment horizontal="center"/>
      <protection/>
    </xf>
    <xf numFmtId="0" fontId="40" fillId="44" borderId="163" xfId="61" applyFont="1" applyFill="1" applyBorder="1" applyAlignment="1" applyProtection="1">
      <alignment horizontal="center"/>
      <protection/>
    </xf>
    <xf numFmtId="38" fontId="6" fillId="35" borderId="176" xfId="71" applyNumberFormat="1" applyFont="1" applyFill="1" applyBorder="1" applyAlignment="1" applyProtection="1">
      <alignment horizontal="center"/>
      <protection/>
    </xf>
    <xf numFmtId="38" fontId="6" fillId="35" borderId="126" xfId="71" applyNumberFormat="1" applyFont="1" applyFill="1" applyBorder="1" applyAlignment="1" applyProtection="1">
      <alignment horizontal="center"/>
      <protection/>
    </xf>
    <xf numFmtId="38" fontId="6" fillId="35" borderId="44" xfId="71" applyNumberFormat="1" applyFont="1" applyFill="1" applyBorder="1" applyAlignment="1" applyProtection="1">
      <alignment horizontal="center"/>
      <protection/>
    </xf>
    <xf numFmtId="0" fontId="40" fillId="35" borderId="156" xfId="61" applyFont="1" applyFill="1" applyBorder="1" applyAlignment="1" applyProtection="1">
      <alignment horizontal="center"/>
      <protection/>
    </xf>
    <xf numFmtId="0" fontId="40" fillId="35" borderId="149" xfId="61" applyFont="1" applyFill="1" applyBorder="1" applyAlignment="1" applyProtection="1">
      <alignment horizontal="center"/>
      <protection/>
    </xf>
    <xf numFmtId="0" fontId="40" fillId="35" borderId="88" xfId="61" applyFont="1" applyFill="1" applyBorder="1" applyAlignment="1" applyProtection="1">
      <alignment horizontal="center"/>
      <protection/>
    </xf>
    <xf numFmtId="0" fontId="209" fillId="48" borderId="151" xfId="62" applyFont="1" applyFill="1" applyBorder="1" applyAlignment="1" applyProtection="1">
      <alignment horizontal="center"/>
      <protection/>
    </xf>
    <xf numFmtId="1" fontId="40" fillId="42" borderId="126" xfId="61" applyNumberFormat="1" applyFont="1" applyFill="1" applyBorder="1" applyAlignment="1" applyProtection="1">
      <alignment horizontal="center"/>
      <protection/>
    </xf>
    <xf numFmtId="0" fontId="40" fillId="42" borderId="126" xfId="61" applyNumberFormat="1" applyFont="1" applyFill="1" applyBorder="1" applyAlignment="1" applyProtection="1">
      <alignment horizontal="center"/>
      <protection/>
    </xf>
    <xf numFmtId="38" fontId="15" fillId="35" borderId="139" xfId="71" applyNumberFormat="1" applyFont="1" applyFill="1" applyBorder="1" applyAlignment="1" applyProtection="1">
      <alignment horizontal="center"/>
      <protection/>
    </xf>
    <xf numFmtId="38" fontId="15" fillId="35" borderId="61" xfId="71" applyNumberFormat="1" applyFont="1" applyFill="1" applyBorder="1" applyAlignment="1" applyProtection="1">
      <alignment horizontal="center"/>
      <protection/>
    </xf>
    <xf numFmtId="38" fontId="15" fillId="35" borderId="65" xfId="71" applyNumberFormat="1" applyFont="1" applyFill="1" applyBorder="1" applyAlignment="1" applyProtection="1">
      <alignment horizontal="center"/>
      <protection/>
    </xf>
    <xf numFmtId="38" fontId="9" fillId="42" borderId="45" xfId="71" applyNumberFormat="1" applyFont="1" applyFill="1" applyBorder="1" applyAlignment="1" applyProtection="1">
      <alignment horizontal="center"/>
      <protection/>
    </xf>
    <xf numFmtId="38" fontId="9" fillId="42" borderId="59" xfId="71" applyNumberFormat="1" applyFont="1" applyFill="1" applyBorder="1" applyAlignment="1" applyProtection="1">
      <alignment horizontal="center"/>
      <protection/>
    </xf>
    <xf numFmtId="38" fontId="9" fillId="42" borderId="81" xfId="71" applyNumberFormat="1" applyFont="1" applyFill="1" applyBorder="1" applyAlignment="1" applyProtection="1">
      <alignment horizontal="center"/>
      <protection/>
    </xf>
    <xf numFmtId="0" fontId="40" fillId="45" borderId="177" xfId="61" applyFont="1" applyFill="1" applyBorder="1" applyAlignment="1" applyProtection="1" quotePrefix="1">
      <alignment horizontal="center"/>
      <protection/>
    </xf>
    <xf numFmtId="0" fontId="40" fillId="45" borderId="162" xfId="61" applyFont="1" applyFill="1" applyBorder="1" applyAlignment="1" applyProtection="1" quotePrefix="1">
      <alignment horizontal="center"/>
      <protection/>
    </xf>
    <xf numFmtId="0" fontId="40" fillId="45" borderId="163" xfId="61" applyFont="1" applyFill="1" applyBorder="1" applyAlignment="1" applyProtection="1" quotePrefix="1">
      <alignment horizontal="center"/>
      <protection/>
    </xf>
    <xf numFmtId="38" fontId="204" fillId="44" borderId="45" xfId="71" applyNumberFormat="1" applyFont="1" applyFill="1" applyBorder="1" applyAlignment="1" applyProtection="1">
      <alignment horizontal="center"/>
      <protection/>
    </xf>
    <xf numFmtId="38" fontId="204" fillId="44" borderId="59" xfId="71" applyNumberFormat="1" applyFont="1" applyFill="1" applyBorder="1" applyAlignment="1" applyProtection="1">
      <alignment horizontal="center"/>
      <protection/>
    </xf>
    <xf numFmtId="38" fontId="204" fillId="44" borderId="81" xfId="71" applyNumberFormat="1" applyFont="1" applyFill="1" applyBorder="1" applyAlignment="1" applyProtection="1">
      <alignment horizontal="center"/>
      <protection/>
    </xf>
    <xf numFmtId="38" fontId="110" fillId="35" borderId="176" xfId="71" applyNumberFormat="1" applyFont="1" applyFill="1" applyBorder="1" applyAlignment="1" applyProtection="1">
      <alignment horizontal="center"/>
      <protection/>
    </xf>
    <xf numFmtId="38" fontId="110" fillId="35" borderId="126" xfId="71" applyNumberFormat="1" applyFont="1" applyFill="1" applyBorder="1" applyAlignment="1" applyProtection="1">
      <alignment horizontal="center"/>
      <protection/>
    </xf>
    <xf numFmtId="38" fontId="110" fillId="35" borderId="44" xfId="71" applyNumberFormat="1" applyFont="1" applyFill="1" applyBorder="1" applyAlignment="1" applyProtection="1">
      <alignment horizontal="center"/>
      <protection/>
    </xf>
    <xf numFmtId="38" fontId="26" fillId="35" borderId="139" xfId="71" applyNumberFormat="1" applyFont="1" applyFill="1" applyBorder="1" applyAlignment="1" applyProtection="1">
      <alignment horizontal="center"/>
      <protection/>
    </xf>
    <xf numFmtId="38" fontId="26" fillId="35" borderId="61" xfId="71" applyNumberFormat="1" applyFont="1" applyFill="1" applyBorder="1" applyAlignment="1" applyProtection="1">
      <alignment horizontal="center"/>
      <protection/>
    </xf>
    <xf numFmtId="38" fontId="26" fillId="35" borderId="65" xfId="71" applyNumberFormat="1" applyFont="1" applyFill="1" applyBorder="1" applyAlignment="1" applyProtection="1">
      <alignment horizontal="center"/>
      <protection/>
    </xf>
    <xf numFmtId="0" fontId="40" fillId="45" borderId="177" xfId="61" applyFont="1" applyFill="1" applyBorder="1" applyAlignment="1" applyProtection="1">
      <alignment horizontal="center"/>
      <protection/>
    </xf>
    <xf numFmtId="0" fontId="40" fillId="45" borderId="162" xfId="61" applyFont="1" applyFill="1" applyBorder="1" applyAlignment="1" applyProtection="1">
      <alignment horizontal="center"/>
      <protection/>
    </xf>
    <xf numFmtId="0" fontId="40" fillId="45" borderId="163" xfId="61" applyFont="1" applyFill="1" applyBorder="1" applyAlignment="1" applyProtection="1">
      <alignment horizontal="center"/>
      <protection/>
    </xf>
    <xf numFmtId="38" fontId="6" fillId="35" borderId="139" xfId="71" applyNumberFormat="1" applyFont="1" applyFill="1" applyBorder="1" applyAlignment="1" applyProtection="1">
      <alignment horizontal="center"/>
      <protection/>
    </xf>
    <xf numFmtId="38" fontId="6" fillId="35" borderId="61" xfId="71" applyNumberFormat="1" applyFont="1" applyFill="1" applyBorder="1" applyAlignment="1" applyProtection="1">
      <alignment horizontal="center"/>
      <protection/>
    </xf>
    <xf numFmtId="38" fontId="6" fillId="35" borderId="65" xfId="71" applyNumberFormat="1" applyFont="1" applyFill="1" applyBorder="1" applyAlignment="1" applyProtection="1">
      <alignment horizontal="center"/>
      <protection/>
    </xf>
    <xf numFmtId="0" fontId="209" fillId="35" borderId="17" xfId="62" applyFont="1" applyFill="1" applyBorder="1" applyAlignment="1" applyProtection="1">
      <alignment horizontal="center"/>
      <protection/>
    </xf>
    <xf numFmtId="0" fontId="209" fillId="35" borderId="0" xfId="62" applyFont="1" applyFill="1" applyBorder="1" applyAlignment="1" applyProtection="1">
      <alignment horizontal="center"/>
      <protection/>
    </xf>
    <xf numFmtId="0" fontId="209" fillId="35" borderId="22" xfId="62" applyFont="1" applyFill="1" applyBorder="1" applyAlignment="1" applyProtection="1">
      <alignment horizontal="center"/>
      <protection/>
    </xf>
    <xf numFmtId="38" fontId="12" fillId="44" borderId="136" xfId="71" applyNumberFormat="1" applyFont="1" applyFill="1" applyBorder="1" applyAlignment="1" applyProtection="1">
      <alignment horizontal="center"/>
      <protection/>
    </xf>
    <xf numFmtId="38" fontId="12" fillId="44" borderId="54" xfId="71" applyNumberFormat="1" applyFont="1" applyFill="1" applyBorder="1" applyAlignment="1" applyProtection="1">
      <alignment horizontal="center"/>
      <protection/>
    </xf>
    <xf numFmtId="38" fontId="12" fillId="44" borderId="40" xfId="71" applyNumberFormat="1" applyFont="1" applyFill="1" applyBorder="1" applyAlignment="1" applyProtection="1">
      <alignment horizontal="center"/>
      <protection/>
    </xf>
    <xf numFmtId="38" fontId="12" fillId="44" borderId="139" xfId="71" applyNumberFormat="1" applyFont="1" applyFill="1" applyBorder="1" applyAlignment="1" applyProtection="1">
      <alignment horizontal="center"/>
      <protection/>
    </xf>
    <xf numFmtId="38" fontId="12" fillId="44" borderId="61" xfId="71" applyNumberFormat="1" applyFont="1" applyFill="1" applyBorder="1" applyAlignment="1" applyProtection="1">
      <alignment horizontal="center"/>
      <protection/>
    </xf>
    <xf numFmtId="38" fontId="12" fillId="44" borderId="65" xfId="71" applyNumberFormat="1" applyFont="1" applyFill="1" applyBorder="1" applyAlignment="1" applyProtection="1">
      <alignment horizontal="center"/>
      <protection/>
    </xf>
    <xf numFmtId="38" fontId="12" fillId="44" borderId="135" xfId="71" applyNumberFormat="1" applyFont="1" applyFill="1" applyBorder="1" applyAlignment="1" applyProtection="1">
      <alignment horizontal="center"/>
      <protection/>
    </xf>
    <xf numFmtId="38" fontId="12" fillId="44" borderId="52" xfId="71" applyNumberFormat="1" applyFont="1" applyFill="1" applyBorder="1" applyAlignment="1" applyProtection="1">
      <alignment horizontal="center"/>
      <protection/>
    </xf>
    <xf numFmtId="38" fontId="12" fillId="44" borderId="115" xfId="71" applyNumberFormat="1" applyFont="1" applyFill="1" applyBorder="1" applyAlignment="1" applyProtection="1">
      <alignment horizontal="center"/>
      <protection/>
    </xf>
    <xf numFmtId="38" fontId="6" fillId="35" borderId="137" xfId="71" applyNumberFormat="1" applyFont="1" applyFill="1" applyBorder="1" applyAlignment="1" applyProtection="1">
      <alignment horizontal="center"/>
      <protection/>
    </xf>
    <xf numFmtId="38" fontId="6" fillId="35" borderId="64" xfId="71" applyNumberFormat="1" applyFont="1" applyFill="1" applyBorder="1" applyAlignment="1" applyProtection="1">
      <alignment horizontal="center"/>
      <protection/>
    </xf>
    <xf numFmtId="38" fontId="6" fillId="35" borderId="116" xfId="71" applyNumberFormat="1" applyFont="1" applyFill="1" applyBorder="1" applyAlignment="1" applyProtection="1">
      <alignment horizontal="center"/>
      <protection/>
    </xf>
    <xf numFmtId="38" fontId="12" fillId="44" borderId="45" xfId="71" applyNumberFormat="1" applyFont="1" applyFill="1" applyBorder="1" applyAlignment="1" applyProtection="1">
      <alignment horizontal="center"/>
      <protection/>
    </xf>
    <xf numFmtId="38" fontId="12" fillId="44" borderId="59" xfId="71" applyNumberFormat="1" applyFont="1" applyFill="1" applyBorder="1" applyAlignment="1" applyProtection="1">
      <alignment horizontal="center"/>
      <protection/>
    </xf>
    <xf numFmtId="38" fontId="12" fillId="44" borderId="81" xfId="71" applyNumberFormat="1" applyFont="1" applyFill="1" applyBorder="1" applyAlignment="1" applyProtection="1">
      <alignment horizontal="center"/>
      <protection/>
    </xf>
    <xf numFmtId="0" fontId="208" fillId="42" borderId="0" xfId="61" applyFont="1" applyFill="1" applyBorder="1" applyAlignment="1" applyProtection="1">
      <alignment horizontal="center"/>
      <protection/>
    </xf>
    <xf numFmtId="207" fontId="200" fillId="42" borderId="0" xfId="61" applyNumberFormat="1" applyFont="1" applyFill="1" applyBorder="1" applyAlignment="1" applyProtection="1">
      <alignment horizontal="center"/>
      <protection/>
    </xf>
    <xf numFmtId="0" fontId="95" fillId="45" borderId="71" xfId="58" applyFont="1" applyFill="1" applyBorder="1" applyAlignment="1" applyProtection="1">
      <alignment horizontal="center" vertical="center"/>
      <protection/>
    </xf>
    <xf numFmtId="0" fontId="95" fillId="45" borderId="72" xfId="58" applyFont="1" applyFill="1" applyBorder="1" applyAlignment="1" applyProtection="1">
      <alignment horizontal="center" vertical="center"/>
      <protection/>
    </xf>
    <xf numFmtId="0" fontId="95" fillId="45" borderId="73" xfId="58" applyFont="1" applyFill="1" applyBorder="1" applyAlignment="1" applyProtection="1">
      <alignment horizontal="center" vertical="center"/>
      <protection/>
    </xf>
    <xf numFmtId="0" fontId="95" fillId="35" borderId="45" xfId="61" applyFont="1" applyFill="1" applyBorder="1" applyAlignment="1" applyProtection="1">
      <alignment horizontal="center" vertical="center" wrapText="1"/>
      <protection/>
    </xf>
    <xf numFmtId="0" fontId="95" fillId="35" borderId="59" xfId="61" applyFont="1" applyFill="1" applyBorder="1" applyAlignment="1" applyProtection="1">
      <alignment horizontal="center" vertical="center" wrapText="1"/>
      <protection/>
    </xf>
    <xf numFmtId="0" fontId="95" fillId="35" borderId="81" xfId="61" applyFont="1" applyFill="1" applyBorder="1" applyAlignment="1" applyProtection="1">
      <alignment horizontal="center" vertical="center" wrapText="1"/>
      <protection/>
    </xf>
    <xf numFmtId="0" fontId="93" fillId="35" borderId="34" xfId="58" applyFont="1" applyFill="1" applyBorder="1" applyAlignment="1" applyProtection="1" quotePrefix="1">
      <alignment horizontal="center" vertical="center"/>
      <protection/>
    </xf>
    <xf numFmtId="0" fontId="93" fillId="35" borderId="59" xfId="58" applyFont="1" applyFill="1" applyBorder="1" applyAlignment="1" applyProtection="1" quotePrefix="1">
      <alignment horizontal="center" vertical="center"/>
      <protection/>
    </xf>
    <xf numFmtId="0" fontId="93" fillId="35" borderId="60" xfId="58" applyFont="1" applyFill="1" applyBorder="1" applyAlignment="1" applyProtection="1" quotePrefix="1">
      <alignment horizontal="center" vertical="center"/>
      <protection/>
    </xf>
    <xf numFmtId="192" fontId="244" fillId="35" borderId="34" xfId="53" applyNumberFormat="1" applyFill="1" applyBorder="1" applyAlignment="1" applyProtection="1">
      <alignment horizontal="center" vertical="center"/>
      <protection/>
    </xf>
    <xf numFmtId="192" fontId="191" fillId="35" borderId="60" xfId="58" applyNumberFormat="1" applyFont="1" applyFill="1" applyBorder="1" applyAlignment="1" applyProtection="1">
      <alignment horizontal="center" vertical="center"/>
      <protection/>
    </xf>
    <xf numFmtId="0" fontId="244" fillId="35" borderId="34" xfId="53" applyFill="1" applyBorder="1" applyAlignment="1" applyProtection="1">
      <alignment horizontal="center"/>
      <protection/>
    </xf>
    <xf numFmtId="0" fontId="191" fillId="35" borderId="59" xfId="70" applyFont="1" applyFill="1" applyBorder="1" applyAlignment="1" applyProtection="1">
      <alignment horizontal="center"/>
      <protection/>
    </xf>
    <xf numFmtId="0" fontId="191" fillId="35" borderId="60" xfId="70" applyFont="1" applyFill="1" applyBorder="1" applyAlignment="1" applyProtection="1">
      <alignment horizontal="center"/>
      <protection/>
    </xf>
    <xf numFmtId="1" fontId="94" fillId="42" borderId="34" xfId="58" applyNumberFormat="1" applyFont="1" applyFill="1" applyBorder="1" applyAlignment="1" applyProtection="1">
      <alignment horizontal="center" vertical="center"/>
      <protection/>
    </xf>
    <xf numFmtId="1" fontId="94" fillId="42" borderId="60" xfId="58" applyNumberFormat="1" applyFont="1" applyFill="1" applyBorder="1" applyAlignment="1" applyProtection="1">
      <alignment horizontal="center" vertical="center"/>
      <protection/>
    </xf>
    <xf numFmtId="0" fontId="6" fillId="35" borderId="69" xfId="58" applyFont="1" applyFill="1" applyBorder="1" applyAlignment="1" applyProtection="1">
      <alignment horizontal="right" vertical="top" wrapText="1"/>
      <protection/>
    </xf>
    <xf numFmtId="0" fontId="6" fillId="35" borderId="0" xfId="58" applyFont="1" applyFill="1" applyAlignment="1" applyProtection="1">
      <alignment horizontal="right" vertical="top" wrapText="1"/>
      <protection/>
    </xf>
    <xf numFmtId="3" fontId="117" fillId="35" borderId="64" xfId="0" applyNumberFormat="1" applyFont="1" applyFill="1" applyBorder="1" applyAlignment="1" applyProtection="1">
      <alignment horizontal="center" vertical="center"/>
      <protection/>
    </xf>
    <xf numFmtId="0" fontId="12" fillId="35" borderId="69" xfId="58" applyFont="1" applyFill="1" applyBorder="1" applyAlignment="1" applyProtection="1">
      <alignment horizontal="center" vertical="center"/>
      <protection/>
    </xf>
    <xf numFmtId="0" fontId="113" fillId="45" borderId="16" xfId="58" applyFont="1" applyFill="1" applyBorder="1" applyAlignment="1" applyProtection="1">
      <alignment horizontal="center" vertical="center" wrapText="1"/>
      <protection/>
    </xf>
    <xf numFmtId="0" fontId="113" fillId="45" borderId="37" xfId="58" applyFont="1" applyFill="1" applyBorder="1" applyAlignment="1" applyProtection="1">
      <alignment horizontal="center" vertical="center" wrapText="1"/>
      <protection/>
    </xf>
    <xf numFmtId="0" fontId="160" fillId="45" borderId="16" xfId="0" applyFont="1" applyFill="1" applyBorder="1" applyAlignment="1" applyProtection="1">
      <alignment horizontal="center" vertical="center" wrapText="1"/>
      <protection/>
    </xf>
    <xf numFmtId="0" fontId="160" fillId="45" borderId="37" xfId="0" applyFont="1" applyFill="1" applyBorder="1" applyAlignment="1" applyProtection="1">
      <alignment horizontal="center" vertical="center" wrapText="1"/>
      <protection/>
    </xf>
    <xf numFmtId="0" fontId="43" fillId="38" borderId="23" xfId="66" applyFont="1" applyFill="1" applyBorder="1" applyAlignment="1" quotePrefix="1">
      <alignment horizontal="left" vertical="center"/>
      <protection/>
    </xf>
    <xf numFmtId="0" fontId="43" fillId="38" borderId="34" xfId="66"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6" fillId="38" borderId="0" xfId="59" applyFont="1" applyFill="1" applyAlignment="1" applyProtection="1">
      <alignment vertical="center" wrapText="1"/>
      <protection locked="0"/>
    </xf>
    <xf numFmtId="0" fontId="37" fillId="0" borderId="0" xfId="59" applyFont="1" applyAlignment="1" applyProtection="1">
      <alignment vertical="center" wrapText="1"/>
      <protection locked="0"/>
    </xf>
    <xf numFmtId="0" fontId="43" fillId="38" borderId="25" xfId="66" applyFont="1" applyFill="1" applyBorder="1" applyAlignment="1" quotePrefix="1">
      <alignment horizontal="left" vertical="center"/>
      <protection/>
    </xf>
    <xf numFmtId="0" fontId="43" fillId="38" borderId="201" xfId="66" applyFont="1" applyFill="1" applyBorder="1" applyAlignment="1" quotePrefix="1">
      <alignment horizontal="left" vertical="center"/>
      <protection/>
    </xf>
    <xf numFmtId="0" fontId="43" fillId="38" borderId="23" xfId="66" applyFont="1" applyFill="1" applyBorder="1" applyAlignment="1" quotePrefix="1">
      <alignment horizontal="left" vertical="center" wrapText="1"/>
      <protection/>
    </xf>
    <xf numFmtId="0" fontId="43" fillId="38" borderId="34" xfId="66" applyFont="1" applyFill="1" applyBorder="1" applyAlignment="1" quotePrefix="1">
      <alignment horizontal="left" vertical="center" wrapText="1"/>
      <protection/>
    </xf>
    <xf numFmtId="0" fontId="32" fillId="0" borderId="11" xfId="59" applyFont="1" applyBorder="1" applyAlignment="1">
      <alignment horizontal="center" vertical="center" wrapText="1"/>
      <protection/>
    </xf>
    <xf numFmtId="0" fontId="0" fillId="0" borderId="12" xfId="0" applyBorder="1" applyAlignment="1">
      <alignment horizontal="center" vertical="center" wrapText="1"/>
    </xf>
    <xf numFmtId="0" fontId="40" fillId="0" borderId="11" xfId="66" applyFont="1" applyFill="1" applyBorder="1" applyAlignment="1">
      <alignment horizontal="center" vertical="center" wrapText="1"/>
      <protection/>
    </xf>
    <xf numFmtId="0" fontId="0" fillId="0" borderId="12" xfId="0" applyBorder="1" applyAlignment="1">
      <alignment horizontal="center" vertical="center"/>
    </xf>
    <xf numFmtId="0" fontId="43" fillId="38" borderId="23" xfId="66" applyFont="1" applyFill="1" applyBorder="1" applyAlignment="1">
      <alignment horizontal="left" vertical="center"/>
      <protection/>
    </xf>
    <xf numFmtId="0" fontId="43" fillId="38" borderId="34" xfId="66" applyFont="1" applyFill="1" applyBorder="1" applyAlignment="1">
      <alignment horizontal="left" vertical="center"/>
      <protection/>
    </xf>
    <xf numFmtId="0" fontId="43" fillId="38" borderId="202" xfId="66" applyFont="1" applyFill="1" applyBorder="1" applyAlignment="1" quotePrefix="1">
      <alignment horizontal="left" vertical="center"/>
      <protection/>
    </xf>
    <xf numFmtId="0" fontId="43" fillId="38" borderId="203" xfId="66" applyFont="1" applyFill="1" applyBorder="1" applyAlignment="1" quotePrefix="1">
      <alignment horizontal="left" vertical="center"/>
      <protection/>
    </xf>
    <xf numFmtId="0" fontId="35" fillId="0" borderId="0" xfId="59" applyFont="1" applyAlignment="1">
      <alignment horizontal="left" vertical="center" wrapText="1"/>
      <protection/>
    </xf>
    <xf numFmtId="0" fontId="23" fillId="0" borderId="0" xfId="59" applyAlignment="1">
      <alignment vertical="center" wrapText="1"/>
      <protection/>
    </xf>
    <xf numFmtId="0" fontId="36" fillId="0" borderId="0" xfId="59" applyFont="1" applyAlignment="1">
      <alignment vertical="center" wrapText="1"/>
      <protection/>
    </xf>
    <xf numFmtId="0" fontId="37" fillId="0" borderId="0" xfId="59" applyFont="1" applyAlignment="1">
      <alignment vertical="center" wrapText="1"/>
      <protection/>
    </xf>
    <xf numFmtId="3" fontId="38" fillId="45" borderId="16" xfId="59" applyNumberFormat="1" applyFont="1" applyFill="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3" fontId="38" fillId="45" borderId="18" xfId="59" applyNumberFormat="1" applyFont="1" applyFill="1" applyBorder="1" applyAlignment="1">
      <alignment horizontal="center" vertical="center" wrapText="1"/>
      <protection/>
    </xf>
    <xf numFmtId="3" fontId="38" fillId="45" borderId="30" xfId="59" applyNumberFormat="1" applyFont="1" applyFill="1" applyBorder="1" applyAlignment="1">
      <alignment horizontal="center" vertical="center" wrapText="1"/>
      <protection/>
    </xf>
    <xf numFmtId="0" fontId="43" fillId="38" borderId="23" xfId="59" applyFont="1" applyFill="1" applyBorder="1" applyAlignment="1">
      <alignment vertical="center" wrapText="1"/>
      <protection/>
    </xf>
    <xf numFmtId="0" fontId="53" fillId="38" borderId="34" xfId="59" applyFont="1" applyFill="1" applyBorder="1" applyAlignment="1">
      <alignment vertical="center" wrapText="1"/>
      <protection/>
    </xf>
    <xf numFmtId="0" fontId="40" fillId="0" borderId="12" xfId="66" applyFont="1" applyFill="1" applyBorder="1" applyAlignment="1">
      <alignment horizontal="center" vertical="center" wrapText="1"/>
      <protection/>
    </xf>
    <xf numFmtId="0" fontId="41" fillId="0" borderId="13" xfId="59" applyFont="1" applyBorder="1" applyAlignment="1">
      <alignment horizontal="left" vertical="center" wrapText="1"/>
      <protection/>
    </xf>
    <xf numFmtId="0" fontId="41" fillId="0" borderId="24" xfId="59" applyFont="1" applyBorder="1" applyAlignment="1">
      <alignment horizontal="left" vertical="center" wrapText="1"/>
      <protection/>
    </xf>
    <xf numFmtId="0" fontId="32" fillId="0" borderId="19" xfId="59" applyFont="1" applyBorder="1" applyAlignment="1">
      <alignment horizontal="center" vertical="center" wrapText="1"/>
      <protection/>
    </xf>
    <xf numFmtId="0" fontId="32" fillId="0" borderId="134" xfId="59" applyFont="1" applyBorder="1" applyAlignment="1">
      <alignment horizontal="center" vertical="center" wrapText="1"/>
      <protection/>
    </xf>
    <xf numFmtId="0" fontId="43" fillId="38" borderId="23" xfId="59" applyFont="1" applyFill="1" applyBorder="1" applyAlignment="1">
      <alignment horizontal="left" vertical="center"/>
      <protection/>
    </xf>
    <xf numFmtId="0" fontId="43" fillId="38" borderId="34" xfId="59" applyFont="1" applyFill="1" applyBorder="1" applyAlignment="1">
      <alignment horizontal="left" vertical="center"/>
      <protection/>
    </xf>
    <xf numFmtId="0" fontId="43" fillId="38" borderId="25" xfId="66" applyFont="1" applyFill="1" applyBorder="1" applyAlignment="1">
      <alignment vertical="center" wrapText="1"/>
      <protection/>
    </xf>
    <xf numFmtId="0" fontId="53" fillId="38" borderId="201" xfId="59" applyFont="1" applyFill="1" applyBorder="1" applyAlignment="1">
      <alignment vertical="center" wrapText="1"/>
      <protection/>
    </xf>
    <xf numFmtId="0" fontId="53" fillId="38" borderId="34" xfId="59" applyFont="1" applyFill="1" applyBorder="1" applyAlignment="1">
      <alignment horizontal="left" vertical="center" wrapText="1"/>
      <protection/>
    </xf>
    <xf numFmtId="0" fontId="43" fillId="38" borderId="23" xfId="59" applyFont="1" applyFill="1" applyBorder="1" applyAlignment="1">
      <alignment wrapText="1"/>
      <protection/>
    </xf>
    <xf numFmtId="0" fontId="53" fillId="38" borderId="34" xfId="59" applyFont="1" applyFill="1" applyBorder="1" applyAlignment="1">
      <alignment wrapText="1"/>
      <protection/>
    </xf>
    <xf numFmtId="0" fontId="43" fillId="38" borderId="27" xfId="59" applyFont="1" applyFill="1" applyBorder="1" applyAlignment="1">
      <alignment horizontal="left" vertical="center"/>
      <protection/>
    </xf>
    <xf numFmtId="0" fontId="43" fillId="38" borderId="158" xfId="59" applyFont="1" applyFill="1" applyBorder="1" applyAlignment="1">
      <alignment horizontal="left" vertical="center"/>
      <protection/>
    </xf>
    <xf numFmtId="0" fontId="40" fillId="0" borderId="14" xfId="68" applyFont="1" applyFill="1" applyBorder="1" applyAlignment="1">
      <alignment horizontal="center" vertical="center" wrapText="1"/>
      <protection/>
    </xf>
    <xf numFmtId="0" fontId="43" fillId="38" borderId="23" xfId="59" applyFont="1" applyFill="1" applyBorder="1" applyAlignment="1">
      <alignment horizontal="left"/>
      <protection/>
    </xf>
    <xf numFmtId="0" fontId="43" fillId="38" borderId="34" xfId="59" applyFont="1" applyFill="1" applyBorder="1" applyAlignment="1">
      <alignment horizontal="left"/>
      <protection/>
    </xf>
    <xf numFmtId="1" fontId="6" fillId="0" borderId="11" xfId="58" applyNumberFormat="1" applyFont="1" applyBorder="1" applyAlignment="1">
      <alignment horizontal="left" vertical="center" wrapText="1"/>
      <protection/>
    </xf>
    <xf numFmtId="0" fontId="0" fillId="0" borderId="12" xfId="0" applyBorder="1" applyAlignment="1">
      <alignment horizontal="left" vertical="center" wrapText="1"/>
    </xf>
    <xf numFmtId="0" fontId="11" fillId="0" borderId="11" xfId="66" applyFont="1" applyFill="1" applyBorder="1" applyAlignment="1">
      <alignment horizontal="left" vertical="center" wrapText="1"/>
      <protection/>
    </xf>
    <xf numFmtId="0" fontId="43" fillId="38" borderId="25" xfId="66" applyFont="1" applyFill="1" applyBorder="1" applyAlignment="1" quotePrefix="1">
      <alignment horizontal="left" vertical="center" wrapText="1"/>
      <protection/>
    </xf>
    <xf numFmtId="0" fontId="53" fillId="38" borderId="201" xfId="59" applyFont="1" applyFill="1" applyBorder="1" applyAlignment="1">
      <alignment horizontal="left" vertical="center" wrapText="1"/>
      <protection/>
    </xf>
    <xf numFmtId="0" fontId="32" fillId="0" borderId="11" xfId="59" applyFont="1" applyBorder="1" applyAlignment="1" quotePrefix="1">
      <alignment horizontal="center" vertical="center" wrapText="1"/>
      <protection/>
    </xf>
    <xf numFmtId="0" fontId="32" fillId="0" borderId="12" xfId="59" applyFont="1" applyBorder="1" applyAlignment="1" quotePrefix="1">
      <alignment horizontal="center" vertical="center" wrapText="1"/>
      <protection/>
    </xf>
    <xf numFmtId="0" fontId="32" fillId="0" borderId="17" xfId="59" applyFont="1" applyBorder="1" applyAlignment="1" quotePrefix="1">
      <alignment horizontal="center" vertical="center" wrapText="1"/>
      <protection/>
    </xf>
    <xf numFmtId="0" fontId="32" fillId="0" borderId="22" xfId="59" applyFont="1" applyBorder="1" applyAlignment="1" quotePrefix="1">
      <alignment horizontal="center" vertical="center" wrapText="1"/>
      <protection/>
    </xf>
    <xf numFmtId="0" fontId="43" fillId="38" borderId="28" xfId="66" applyFont="1" applyFill="1" applyBorder="1" applyAlignment="1" quotePrefix="1">
      <alignment horizontal="left" vertical="center" wrapText="1"/>
      <protection/>
    </xf>
    <xf numFmtId="0" fontId="53" fillId="38" borderId="204" xfId="59" applyFont="1" applyFill="1" applyBorder="1" applyAlignment="1">
      <alignment horizontal="left" vertical="center" wrapText="1"/>
      <protection/>
    </xf>
    <xf numFmtId="0" fontId="43" fillId="38" borderId="28" xfId="66" applyFont="1" applyFill="1" applyBorder="1" applyAlignment="1" quotePrefix="1">
      <alignment horizontal="left" wrapText="1"/>
      <protection/>
    </xf>
    <xf numFmtId="0" fontId="53" fillId="38" borderId="204" xfId="59" applyFont="1" applyFill="1" applyBorder="1" applyAlignment="1">
      <alignment horizontal="left" wrapText="1"/>
      <protection/>
    </xf>
    <xf numFmtId="0" fontId="43" fillId="38" borderId="23" xfId="66" applyFont="1" applyFill="1" applyBorder="1" applyAlignment="1">
      <alignment horizontal="left" wrapText="1"/>
      <protection/>
    </xf>
    <xf numFmtId="0" fontId="43" fillId="38" borderId="34" xfId="66" applyFont="1" applyFill="1" applyBorder="1" applyAlignment="1">
      <alignment horizontal="left" wrapText="1"/>
      <protection/>
    </xf>
    <xf numFmtId="0" fontId="43" fillId="38" borderId="23" xfId="66" applyFont="1" applyFill="1" applyBorder="1" applyAlignment="1">
      <alignment vertical="center" wrapText="1"/>
      <protection/>
    </xf>
    <xf numFmtId="0" fontId="43" fillId="38" borderId="28" xfId="66" applyFont="1" applyFill="1" applyBorder="1" applyAlignment="1">
      <alignment vertical="center" wrapText="1"/>
      <protection/>
    </xf>
    <xf numFmtId="0" fontId="53" fillId="38" borderId="204" xfId="59" applyFont="1" applyFill="1" applyBorder="1" applyAlignment="1">
      <alignment vertical="center" wrapText="1"/>
      <protection/>
    </xf>
    <xf numFmtId="0" fontId="43" fillId="38" borderId="25" xfId="59" applyFont="1" applyFill="1" applyBorder="1" applyAlignment="1">
      <alignment vertical="center" wrapText="1"/>
      <protection/>
    </xf>
    <xf numFmtId="0" fontId="43" fillId="38" borderId="34" xfId="66" applyFont="1" applyFill="1" applyBorder="1" applyAlignment="1">
      <alignment vertical="center" wrapText="1"/>
      <protection/>
    </xf>
    <xf numFmtId="0" fontId="43" fillId="38" borderId="81" xfId="66" applyFont="1" applyFill="1" applyBorder="1" applyAlignment="1">
      <alignment vertical="center" wrapText="1"/>
      <protection/>
    </xf>
    <xf numFmtId="0" fontId="55" fillId="0" borderId="11" xfId="66" applyFont="1" applyFill="1" applyBorder="1" applyAlignment="1">
      <alignment horizontal="center" vertical="center" wrapText="1"/>
      <protection/>
    </xf>
    <xf numFmtId="0" fontId="55" fillId="0" borderId="12" xfId="66" applyFont="1" applyFill="1" applyBorder="1" applyAlignment="1">
      <alignment horizontal="center" vertical="center" wrapText="1"/>
      <protection/>
    </xf>
    <xf numFmtId="0" fontId="30" fillId="0" borderId="11" xfId="66" applyFont="1" applyFill="1" applyBorder="1" applyAlignment="1">
      <alignment horizontal="center" vertical="center" wrapText="1"/>
      <protection/>
    </xf>
    <xf numFmtId="0" fontId="30" fillId="0" borderId="14" xfId="66" applyFont="1" applyFill="1" applyBorder="1" applyAlignment="1">
      <alignment horizontal="center" vertical="center" wrapText="1"/>
      <protection/>
    </xf>
    <xf numFmtId="0" fontId="43" fillId="38" borderId="23" xfId="59" applyFont="1" applyFill="1" applyBorder="1" applyAlignment="1">
      <alignment horizontal="left" wrapText="1"/>
      <protection/>
    </xf>
    <xf numFmtId="0" fontId="43" fillId="38" borderId="34" xfId="59" applyFont="1" applyFill="1" applyBorder="1" applyAlignment="1">
      <alignment horizontal="left" wrapText="1"/>
      <protection/>
    </xf>
    <xf numFmtId="0" fontId="56" fillId="38" borderId="153" xfId="59" applyFont="1" applyFill="1" applyBorder="1" applyAlignment="1" applyProtection="1">
      <alignment vertical="center" wrapText="1"/>
      <protection/>
    </xf>
    <xf numFmtId="0" fontId="58" fillId="38" borderId="152" xfId="59" applyFont="1" applyFill="1" applyBorder="1" applyAlignment="1" applyProtection="1">
      <alignment vertical="center" wrapText="1"/>
      <protection/>
    </xf>
    <xf numFmtId="0" fontId="56" fillId="38" borderId="153" xfId="59" applyFont="1" applyFill="1" applyBorder="1" applyAlignment="1" applyProtection="1">
      <alignment horizontal="left" wrapText="1"/>
      <protection/>
    </xf>
    <xf numFmtId="0" fontId="56" fillId="38" borderId="152" xfId="59" applyFont="1" applyFill="1" applyBorder="1" applyAlignment="1" applyProtection="1">
      <alignment horizontal="left" wrapText="1"/>
      <protection/>
    </xf>
    <xf numFmtId="0" fontId="43" fillId="38" borderId="23" xfId="66" applyFont="1" applyFill="1" applyBorder="1" applyAlignment="1">
      <alignment horizontal="left" vertical="center" wrapText="1"/>
      <protection/>
    </xf>
    <xf numFmtId="0" fontId="43" fillId="38" borderId="34" xfId="66" applyFont="1" applyFill="1" applyBorder="1" applyAlignment="1">
      <alignment horizontal="left" vertical="center" wrapText="1"/>
      <protection/>
    </xf>
    <xf numFmtId="0" fontId="56" fillId="38" borderId="205" xfId="59" applyFont="1" applyFill="1" applyBorder="1" applyAlignment="1" applyProtection="1">
      <alignment vertical="center" wrapText="1"/>
      <protection/>
    </xf>
    <xf numFmtId="0" fontId="58" fillId="38" borderId="206" xfId="59" applyFont="1" applyFill="1" applyBorder="1" applyAlignment="1" applyProtection="1">
      <alignment vertical="center" wrapText="1"/>
      <protection/>
    </xf>
    <xf numFmtId="0" fontId="40" fillId="0" borderId="11" xfId="66" applyFont="1" applyFill="1" applyBorder="1" applyAlignment="1" applyProtection="1">
      <alignment horizontal="center" vertical="center" wrapText="1"/>
      <protection/>
    </xf>
    <xf numFmtId="0" fontId="0" fillId="0" borderId="12" xfId="0" applyBorder="1" applyAlignment="1">
      <alignment vertical="center"/>
    </xf>
    <xf numFmtId="0" fontId="38" fillId="0" borderId="11" xfId="59" applyFont="1" applyBorder="1" applyAlignment="1" applyProtection="1">
      <alignment horizontal="center" vertical="center" wrapText="1"/>
      <protection/>
    </xf>
    <xf numFmtId="0" fontId="32" fillId="0" borderId="11" xfId="59" applyFont="1" applyBorder="1" applyAlignment="1" applyProtection="1">
      <alignment horizontal="center" vertical="center"/>
      <protection/>
    </xf>
    <xf numFmtId="0" fontId="56" fillId="38" borderId="153" xfId="66" applyFont="1" applyFill="1" applyBorder="1" applyAlignment="1" applyProtection="1">
      <alignment horizontal="left" vertical="center" wrapText="1"/>
      <protection/>
    </xf>
    <xf numFmtId="0" fontId="58" fillId="38" borderId="152" xfId="59" applyFont="1" applyFill="1" applyBorder="1" applyAlignment="1" applyProtection="1">
      <alignment horizontal="left" vertical="center" wrapText="1"/>
      <protection/>
    </xf>
    <xf numFmtId="0" fontId="56" fillId="38" borderId="207" xfId="66" applyFont="1" applyFill="1" applyBorder="1" applyAlignment="1" applyProtection="1">
      <alignment horizontal="left" vertical="center"/>
      <protection/>
    </xf>
    <xf numFmtId="0" fontId="56" fillId="38" borderId="203" xfId="66" applyFont="1" applyFill="1" applyBorder="1" applyAlignment="1" applyProtection="1" quotePrefix="1">
      <alignment horizontal="left" vertical="center"/>
      <protection/>
    </xf>
    <xf numFmtId="0" fontId="56" fillId="38" borderId="153" xfId="59" applyFont="1" applyFill="1" applyBorder="1" applyAlignment="1" applyProtection="1">
      <alignment horizontal="left" vertical="center"/>
      <protection/>
    </xf>
    <xf numFmtId="0" fontId="56" fillId="38" borderId="152" xfId="59" applyFont="1" applyFill="1" applyBorder="1" applyAlignment="1" applyProtection="1">
      <alignment horizontal="left" vertical="center"/>
      <protection/>
    </xf>
    <xf numFmtId="0" fontId="56" fillId="38" borderId="0" xfId="66" applyFont="1" applyFill="1" applyBorder="1" applyAlignment="1" applyProtection="1">
      <alignment horizontal="left" vertical="center" wrapText="1"/>
      <protection/>
    </xf>
    <xf numFmtId="0" fontId="32" fillId="0" borderId="11" xfId="59" applyFont="1" applyBorder="1" applyAlignment="1">
      <alignment horizontal="left" vertical="center" wrapText="1"/>
      <protection/>
    </xf>
    <xf numFmtId="0" fontId="43" fillId="38" borderId="28" xfId="66" applyFont="1" applyFill="1" applyBorder="1" applyAlignment="1">
      <alignment horizontal="left" vertical="center" wrapText="1"/>
      <protection/>
    </xf>
    <xf numFmtId="0" fontId="6" fillId="0" borderId="0" xfId="58" applyFont="1" applyFill="1" applyAlignment="1" applyProtection="1">
      <alignment horizontal="left" vertical="center" wrapText="1"/>
      <protection/>
    </xf>
    <xf numFmtId="0" fontId="8" fillId="0" borderId="0" xfId="58" applyFont="1" applyFill="1" applyAlignment="1" applyProtection="1">
      <alignment vertical="center" wrapText="1"/>
      <protection/>
    </xf>
    <xf numFmtId="0" fontId="99" fillId="42" borderId="34" xfId="58" applyFont="1" applyFill="1" applyBorder="1" applyAlignment="1" applyProtection="1">
      <alignment horizontal="center" vertical="center" wrapText="1"/>
      <protection/>
    </xf>
    <xf numFmtId="0" fontId="99" fillId="42" borderId="59" xfId="58" applyFont="1" applyFill="1" applyBorder="1" applyAlignment="1" applyProtection="1">
      <alignment horizontal="center" vertical="center" wrapText="1"/>
      <protection/>
    </xf>
    <xf numFmtId="0" fontId="99" fillId="42" borderId="60" xfId="58" applyFont="1" applyFill="1" applyBorder="1" applyAlignment="1" applyProtection="1">
      <alignment horizontal="center" vertical="center" wrapText="1"/>
      <protection/>
    </xf>
    <xf numFmtId="0" fontId="93" fillId="42" borderId="34" xfId="58" applyFont="1" applyFill="1" applyBorder="1" applyAlignment="1" applyProtection="1">
      <alignment horizontal="center" vertical="center" wrapText="1"/>
      <protection/>
    </xf>
    <xf numFmtId="0" fontId="93" fillId="42" borderId="59" xfId="58" applyFont="1" applyFill="1" applyBorder="1" applyAlignment="1" applyProtection="1">
      <alignment horizontal="center" vertical="center" wrapText="1"/>
      <protection/>
    </xf>
    <xf numFmtId="0" fontId="93" fillId="42" borderId="60" xfId="58" applyFont="1" applyFill="1" applyBorder="1" applyAlignment="1" applyProtection="1">
      <alignment horizontal="center" vertical="center" wrapText="1"/>
      <protection/>
    </xf>
    <xf numFmtId="0" fontId="94" fillId="42" borderId="59" xfId="58" applyFont="1" applyFill="1" applyBorder="1" applyAlignment="1" applyProtection="1">
      <alignment horizontal="left"/>
      <protection/>
    </xf>
    <xf numFmtId="0" fontId="94" fillId="42" borderId="59" xfId="58" applyFont="1" applyFill="1" applyBorder="1" applyAlignment="1" applyProtection="1">
      <alignment horizontal="left" vertical="center"/>
      <protection/>
    </xf>
    <xf numFmtId="0" fontId="94" fillId="42" borderId="59" xfId="58" applyFont="1" applyFill="1" applyBorder="1" applyAlignment="1" applyProtection="1">
      <alignment wrapText="1"/>
      <protection/>
    </xf>
    <xf numFmtId="0" fontId="214" fillId="42" borderId="59" xfId="58" applyFont="1" applyFill="1" applyBorder="1" applyAlignment="1" applyProtection="1">
      <alignment wrapText="1"/>
      <protection/>
    </xf>
    <xf numFmtId="0" fontId="9" fillId="42" borderId="34" xfId="58" applyFont="1" applyFill="1" applyBorder="1" applyAlignment="1" applyProtection="1">
      <alignment horizontal="left" vertical="center"/>
      <protection/>
    </xf>
    <xf numFmtId="0" fontId="9" fillId="42" borderId="59" xfId="58" applyFont="1" applyFill="1" applyBorder="1" applyAlignment="1" applyProtection="1">
      <alignment horizontal="left" vertical="center"/>
      <protection/>
    </xf>
    <xf numFmtId="0" fontId="94" fillId="42" borderId="59" xfId="58" applyFont="1" applyFill="1" applyBorder="1" applyAlignment="1" applyProtection="1">
      <alignment vertical="center" wrapText="1"/>
      <protection/>
    </xf>
    <xf numFmtId="0" fontId="214" fillId="42" borderId="59" xfId="58" applyFont="1" applyFill="1" applyBorder="1" applyAlignment="1" applyProtection="1">
      <alignment vertical="center" wrapText="1"/>
      <protection/>
    </xf>
    <xf numFmtId="0" fontId="94" fillId="42" borderId="81" xfId="58" applyFont="1" applyFill="1" applyBorder="1" applyAlignment="1" applyProtection="1">
      <alignment horizontal="left" vertical="center"/>
      <protection/>
    </xf>
    <xf numFmtId="0" fontId="94" fillId="42" borderId="59" xfId="66" applyFont="1" applyFill="1" applyBorder="1" applyAlignment="1" applyProtection="1">
      <alignment horizontal="left" vertical="center"/>
      <protection/>
    </xf>
    <xf numFmtId="0" fontId="94" fillId="42" borderId="59" xfId="66" applyFont="1" applyFill="1" applyBorder="1" applyAlignment="1" applyProtection="1" quotePrefix="1">
      <alignment horizontal="left" vertical="center"/>
      <protection/>
    </xf>
    <xf numFmtId="0" fontId="94" fillId="42" borderId="59" xfId="66" applyFont="1" applyFill="1" applyBorder="1" applyAlignment="1" applyProtection="1" quotePrefix="1">
      <alignment horizontal="left" vertical="center" wrapText="1"/>
      <protection/>
    </xf>
    <xf numFmtId="0" fontId="214" fillId="42" borderId="59" xfId="58" applyFont="1" applyFill="1" applyBorder="1" applyAlignment="1" applyProtection="1">
      <alignment horizontal="left" vertical="center" wrapText="1"/>
      <protection/>
    </xf>
    <xf numFmtId="0" fontId="94" fillId="42" borderId="59" xfId="66" applyFont="1" applyFill="1" applyBorder="1" applyAlignment="1" applyProtection="1">
      <alignment vertical="center" wrapText="1"/>
      <protection/>
    </xf>
    <xf numFmtId="0" fontId="93" fillId="42" borderId="59" xfId="66" applyFont="1" applyFill="1" applyBorder="1" applyAlignment="1" applyProtection="1" quotePrefix="1">
      <alignment horizontal="left" vertical="center"/>
      <protection/>
    </xf>
    <xf numFmtId="0" fontId="93" fillId="42" borderId="60" xfId="66"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9" fillId="42" borderId="34" xfId="58" applyFont="1" applyFill="1" applyBorder="1" applyAlignment="1" applyProtection="1">
      <alignment horizontal="center" vertical="center" wrapText="1"/>
      <protection locked="0"/>
    </xf>
    <xf numFmtId="0" fontId="99" fillId="42" borderId="59" xfId="58" applyFont="1" applyFill="1" applyBorder="1" applyAlignment="1" applyProtection="1">
      <alignment horizontal="center" vertical="center" wrapText="1"/>
      <protection locked="0"/>
    </xf>
    <xf numFmtId="0" fontId="99" fillId="42" borderId="60" xfId="58" applyFont="1" applyFill="1" applyBorder="1" applyAlignment="1" applyProtection="1">
      <alignment horizontal="center" vertical="center" wrapText="1"/>
      <protection locked="0"/>
    </xf>
    <xf numFmtId="0" fontId="93" fillId="42" borderId="34" xfId="58" applyFont="1" applyFill="1" applyBorder="1" applyAlignment="1" applyProtection="1">
      <alignment vertical="center" wrapText="1"/>
      <protection/>
    </xf>
    <xf numFmtId="0" fontId="93" fillId="42" borderId="59" xfId="58" applyFont="1" applyFill="1" applyBorder="1" applyAlignment="1" applyProtection="1">
      <alignment vertical="center" wrapText="1"/>
      <protection/>
    </xf>
    <xf numFmtId="0" fontId="93" fillId="42" borderId="60" xfId="58" applyFont="1" applyFill="1" applyBorder="1" applyAlignment="1" applyProtection="1">
      <alignment vertical="center" wrapText="1"/>
      <protection/>
    </xf>
    <xf numFmtId="0" fontId="93" fillId="42" borderId="77" xfId="66" applyFont="1" applyFill="1" applyBorder="1" applyAlignment="1" applyProtection="1" quotePrefix="1">
      <alignment horizontal="left" vertical="center"/>
      <protection/>
    </xf>
    <xf numFmtId="0" fontId="93" fillId="42" borderId="208" xfId="66" applyFont="1" applyFill="1" applyBorder="1" applyAlignment="1" applyProtection="1" quotePrefix="1">
      <alignment horizontal="left" vertical="center"/>
      <protection/>
    </xf>
    <xf numFmtId="0" fontId="244" fillId="42" borderId="34" xfId="53" applyFill="1" applyBorder="1" applyAlignment="1" applyProtection="1">
      <alignment horizontal="center" vertical="center"/>
      <protection locked="0"/>
    </xf>
    <xf numFmtId="0" fontId="40" fillId="42" borderId="59" xfId="58" applyFont="1" applyFill="1" applyBorder="1" applyAlignment="1" applyProtection="1">
      <alignment horizontal="center" vertical="center"/>
      <protection locked="0"/>
    </xf>
    <xf numFmtId="0" fontId="40" fillId="42" borderId="60" xfId="58" applyFont="1" applyFill="1" applyBorder="1" applyAlignment="1" applyProtection="1">
      <alignment horizontal="center" vertical="center"/>
      <protection locked="0"/>
    </xf>
    <xf numFmtId="0" fontId="150" fillId="42" borderId="34" xfId="53" applyFont="1" applyFill="1" applyBorder="1" applyAlignment="1" applyProtection="1">
      <alignment horizontal="center" vertical="center"/>
      <protection locked="0"/>
    </xf>
    <xf numFmtId="14" fontId="68" fillId="42" borderId="34" xfId="63" applyNumberFormat="1" applyFont="1" applyFill="1" applyBorder="1" applyAlignment="1" applyProtection="1">
      <alignment horizontal="center" vertical="center"/>
      <protection locked="0"/>
    </xf>
    <xf numFmtId="14" fontId="68" fillId="42" borderId="60" xfId="63" applyNumberFormat="1" applyFont="1" applyFill="1" applyBorder="1" applyAlignment="1" applyProtection="1">
      <alignment horizontal="center" vertical="center"/>
      <protection locked="0"/>
    </xf>
    <xf numFmtId="184" fontId="6" fillId="35" borderId="0" xfId="58" applyNumberFormat="1" applyFont="1" applyFill="1" applyBorder="1" applyAlignment="1" applyProtection="1">
      <alignment horizontal="left" wrapText="1"/>
      <protection/>
    </xf>
    <xf numFmtId="0" fontId="91" fillId="44" borderId="59" xfId="66" applyFont="1" applyFill="1" applyBorder="1" applyAlignment="1" quotePrefix="1">
      <alignment horizontal="left" vertical="center" wrapText="1"/>
      <protection/>
    </xf>
    <xf numFmtId="0" fontId="213" fillId="44" borderId="59" xfId="58" applyFont="1" applyFill="1" applyBorder="1" applyAlignment="1">
      <alignment horizontal="left" vertical="center" wrapText="1"/>
      <protection/>
    </xf>
    <xf numFmtId="0" fontId="94" fillId="42" borderId="34" xfId="58" applyFont="1" applyFill="1" applyBorder="1" applyAlignment="1" applyProtection="1">
      <alignment horizontal="left" vertical="center"/>
      <protection/>
    </xf>
    <xf numFmtId="0" fontId="91" fillId="44" borderId="59" xfId="66" applyFont="1" applyFill="1" applyBorder="1" applyAlignment="1" applyProtection="1" quotePrefix="1">
      <alignment horizontal="left" vertical="center" wrapText="1"/>
      <protection/>
    </xf>
    <xf numFmtId="0" fontId="213" fillId="44" borderId="59" xfId="58" applyFont="1" applyFill="1" applyBorder="1" applyAlignment="1" applyProtection="1">
      <alignment horizontal="left" vertical="center" wrapText="1"/>
      <protection/>
    </xf>
    <xf numFmtId="0" fontId="6" fillId="0" borderId="0" xfId="58" applyFont="1" applyFill="1" applyBorder="1" applyAlignment="1" applyProtection="1">
      <alignment horizontal="left" vertical="center" wrapText="1"/>
      <protection/>
    </xf>
    <xf numFmtId="0" fontId="8" fillId="0" borderId="0" xfId="58" applyFont="1" applyFill="1" applyBorder="1" applyAlignment="1" applyProtection="1">
      <alignment vertical="center" wrapText="1"/>
      <protection/>
    </xf>
    <xf numFmtId="0" fontId="104" fillId="42" borderId="59" xfId="66" applyFont="1" applyFill="1" applyBorder="1" applyAlignment="1">
      <alignment horizontal="left" vertical="center"/>
      <protection/>
    </xf>
    <xf numFmtId="0" fontId="104" fillId="42" borderId="59" xfId="58" applyFont="1" applyFill="1" applyBorder="1" applyAlignment="1">
      <alignment vertical="center" wrapText="1"/>
      <protection/>
    </xf>
    <xf numFmtId="0" fontId="211" fillId="42" borderId="59" xfId="58" applyFont="1" applyFill="1" applyBorder="1" applyAlignment="1">
      <alignment vertical="center" wrapText="1"/>
      <protection/>
    </xf>
    <xf numFmtId="0" fontId="104" fillId="42" borderId="59" xfId="66" applyFont="1" applyFill="1" applyBorder="1" applyAlignment="1" quotePrefix="1">
      <alignment horizontal="left" vertical="center" wrapText="1"/>
      <protection/>
    </xf>
    <xf numFmtId="0" fontId="211" fillId="42" borderId="59" xfId="58" applyFont="1" applyFill="1" applyBorder="1" applyAlignment="1">
      <alignment horizontal="left" vertical="center" wrapText="1"/>
      <protection/>
    </xf>
    <xf numFmtId="0" fontId="104" fillId="42" borderId="59" xfId="66" applyFont="1" applyFill="1" applyBorder="1" applyAlignment="1">
      <alignment vertical="center" wrapText="1"/>
      <protection/>
    </xf>
    <xf numFmtId="0" fontId="212" fillId="42" borderId="59" xfId="58" applyFont="1" applyFill="1" applyBorder="1" applyAlignment="1">
      <alignment vertical="center" wrapText="1"/>
      <protection/>
    </xf>
    <xf numFmtId="0" fontId="104" fillId="42" borderId="59" xfId="66" applyFont="1" applyFill="1" applyBorder="1" applyAlignment="1">
      <alignment horizontal="left" vertical="center" wrapText="1"/>
      <protection/>
    </xf>
    <xf numFmtId="0" fontId="104" fillId="42" borderId="59" xfId="66" applyFont="1" applyFill="1" applyBorder="1" applyAlignment="1" quotePrefix="1">
      <alignment horizontal="left" vertical="center"/>
      <protection/>
    </xf>
    <xf numFmtId="0" fontId="212" fillId="42" borderId="59" xfId="58" applyFont="1" applyFill="1" applyBorder="1" applyAlignment="1">
      <alignment horizontal="left" vertical="center" wrapText="1"/>
      <protection/>
    </xf>
    <xf numFmtId="0" fontId="104" fillId="42" borderId="77" xfId="66" applyFont="1" applyFill="1" applyBorder="1" applyAlignment="1">
      <alignment vertical="center" wrapText="1"/>
      <protection/>
    </xf>
    <xf numFmtId="0" fontId="104" fillId="42" borderId="81" xfId="66" applyFont="1" applyFill="1" applyBorder="1" applyAlignment="1">
      <alignment horizontal="left" vertical="center"/>
      <protection/>
    </xf>
    <xf numFmtId="0" fontId="12" fillId="35" borderId="69" xfId="58" applyFont="1" applyFill="1" applyBorder="1" applyAlignment="1" applyProtection="1">
      <alignment horizontal="center" vertical="center"/>
      <protection/>
    </xf>
    <xf numFmtId="0" fontId="12" fillId="35" borderId="77" xfId="58" applyFont="1" applyFill="1" applyBorder="1" applyAlignment="1" applyProtection="1">
      <alignment horizontal="center"/>
      <protection/>
    </xf>
    <xf numFmtId="3" fontId="139" fillId="42" borderId="34" xfId="58" applyNumberFormat="1" applyFont="1" applyFill="1" applyBorder="1" applyAlignment="1" applyProtection="1">
      <alignment horizontal="center" vertical="center"/>
      <protection locked="0"/>
    </xf>
    <xf numFmtId="3" fontId="139" fillId="42" borderId="59" xfId="58" applyNumberFormat="1" applyFont="1" applyFill="1" applyBorder="1" applyAlignment="1" applyProtection="1">
      <alignment horizontal="center" vertical="center"/>
      <protection locked="0"/>
    </xf>
    <xf numFmtId="3" fontId="139" fillId="42" borderId="60" xfId="58" applyNumberFormat="1" applyFont="1" applyFill="1" applyBorder="1" applyAlignment="1" applyProtection="1">
      <alignment horizontal="center" vertical="center"/>
      <protection locked="0"/>
    </xf>
    <xf numFmtId="0" fontId="104" fillId="42" borderId="59" xfId="58" applyFont="1" applyFill="1" applyBorder="1" applyAlignment="1">
      <alignment horizontal="left" vertical="center"/>
      <protection/>
    </xf>
    <xf numFmtId="0" fontId="104" fillId="42" borderId="59" xfId="58" applyFont="1" applyFill="1" applyBorder="1" applyAlignment="1">
      <alignment horizontal="left" vertical="center" wrapText="1"/>
      <protection/>
    </xf>
    <xf numFmtId="0" fontId="104" fillId="42" borderId="81" xfId="58" applyFont="1" applyFill="1" applyBorder="1" applyAlignment="1">
      <alignment horizontal="left" vertical="center" wrapText="1"/>
      <protection/>
    </xf>
    <xf numFmtId="1" fontId="94" fillId="42" borderId="34" xfId="58" applyNumberFormat="1" applyFont="1" applyFill="1" applyBorder="1" applyAlignment="1" applyProtection="1">
      <alignment horizontal="center" vertical="center"/>
      <protection locked="0"/>
    </xf>
    <xf numFmtId="1" fontId="94" fillId="42" borderId="60" xfId="58" applyNumberFormat="1" applyFont="1" applyFill="1" applyBorder="1" applyAlignment="1" applyProtection="1">
      <alignment horizontal="center" vertical="center"/>
      <protection locked="0"/>
    </xf>
    <xf numFmtId="0" fontId="6" fillId="35" borderId="69" xfId="58" applyFont="1" applyFill="1" applyBorder="1" applyAlignment="1">
      <alignment horizontal="right" vertical="top" wrapText="1"/>
      <protection/>
    </xf>
    <xf numFmtId="0" fontId="6" fillId="35" borderId="0" xfId="58" applyFont="1" applyFill="1" applyAlignment="1">
      <alignment horizontal="right" vertical="top" wrapText="1"/>
      <protection/>
    </xf>
    <xf numFmtId="3" fontId="210" fillId="42" borderId="34" xfId="58" applyNumberFormat="1" applyFont="1" applyFill="1" applyBorder="1" applyAlignment="1" applyProtection="1">
      <alignment horizontal="center" vertical="center"/>
      <protection locked="0"/>
    </xf>
    <xf numFmtId="3" fontId="210" fillId="42" borderId="59" xfId="58" applyNumberFormat="1" applyFont="1" applyFill="1" applyBorder="1" applyAlignment="1" applyProtection="1">
      <alignment horizontal="center" vertical="center"/>
      <protection locked="0"/>
    </xf>
    <xf numFmtId="3" fontId="210" fillId="42" borderId="60" xfId="58" applyNumberFormat="1" applyFont="1" applyFill="1" applyBorder="1" applyAlignment="1" applyProtection="1">
      <alignment horizontal="center" vertical="center"/>
      <protection locked="0"/>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3 2" xfId="60"/>
    <cellStyle name="Normal 4" xfId="61"/>
    <cellStyle name="Normal_B3_2013" xfId="62"/>
    <cellStyle name="Normal_BIN 7301,7311 and 6301" xfId="63"/>
    <cellStyle name="Normal_COA-2001-ZAPOVED-No-81-29012002-ANNEX" xfId="64"/>
    <cellStyle name="Normal_DOMV" xfId="65"/>
    <cellStyle name="Normal_EBK_PROJECT_2001-last" xfId="66"/>
    <cellStyle name="Normal_EBK-2002-draft" xfId="67"/>
    <cellStyle name="Normal_MAKET" xfId="68"/>
    <cellStyle name="Normal_Sheet2" xfId="69"/>
    <cellStyle name="Normal_TRIAL-BALANCE-2001-MAKET" xfId="70"/>
    <cellStyle name="Normal_ZADACHA" xfId="71"/>
    <cellStyle name="Note" xfId="72"/>
    <cellStyle name="Output" xfId="73"/>
    <cellStyle name="Percent" xfId="74"/>
    <cellStyle name="Title" xfId="75"/>
    <cellStyle name="Total" xfId="76"/>
    <cellStyle name="Warning Text" xfId="77"/>
  </cellStyles>
  <dxfs count="165">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ill>
        <patternFill>
          <bgColor indexed="13"/>
        </patternFill>
      </fill>
    </dxf>
    <dxf>
      <fill>
        <patternFill>
          <bgColor indexed="13"/>
        </patternFill>
      </fill>
    </dxf>
    <dxf>
      <font>
        <name val="Cambria"/>
        <color indexed="13"/>
      </font>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FF0000"/>
        </patternFill>
      </fill>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theme="0"/>
      </font>
    </dxf>
    <dxf>
      <font>
        <color rgb="FFFFFFCC"/>
      </font>
    </dxf>
    <dxf>
      <font>
        <color theme="0"/>
      </font>
    </dxf>
    <dxf>
      <font>
        <color rgb="FFF0FDCF"/>
      </font>
    </dxf>
    <dxf/>
    <dxf/>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font>
        <color rgb="FFFFFF00"/>
      </font>
      <numFmt numFmtId="196" formatCode="#,##0;\(#,##0\)"/>
      <fill>
        <patternFill>
          <bgColor rgb="FFFF0000"/>
        </patternFill>
      </fill>
      <border/>
    </dxf>
    <dxf>
      <numFmt numFmtId="204" formatCode="0000&quot; &quot;0000&quot; &quot;0000&quot; &quot;0000"/>
      <border/>
    </dxf>
    <dxf>
      <numFmt numFmtId="205" formatCode="0000&quot; &quot;0000&quot; &quot;0000"/>
      <border/>
    </dxf>
    <dxf>
      <numFmt numFmtId="206" formatCode="0000&quot; &quot;0000"/>
      <border/>
    </dxf>
    <dxf>
      <numFmt numFmtId="188"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9"/>
  <sheetViews>
    <sheetView showZeros="0" zoomScale="50" zoomScaleNormal="50"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L4" sqref="L4"/>
    </sheetView>
  </sheetViews>
  <sheetFormatPr defaultColWidth="9.00390625" defaultRowHeight="12.75"/>
  <cols>
    <col min="1" max="1" width="3.75390625" style="1687" customWidth="1"/>
    <col min="2" max="2" width="20.125" style="1687" customWidth="1"/>
    <col min="3" max="3" width="22.375" style="1687" customWidth="1"/>
    <col min="4" max="4" width="34.625" style="1687" customWidth="1"/>
    <col min="5" max="5" width="0.74609375" style="1687" customWidth="1"/>
    <col min="6" max="7" width="17.125" style="1687" customWidth="1"/>
    <col min="8" max="8" width="0.74609375" style="1687" customWidth="1"/>
    <col min="9" max="9" width="16.75390625" style="1687" customWidth="1"/>
    <col min="10" max="10" width="17.125" style="1687" customWidth="1"/>
    <col min="11" max="11" width="0.74609375" style="1687" customWidth="1"/>
    <col min="12" max="12" width="17.125" style="1687" customWidth="1"/>
    <col min="13" max="13" width="0.74609375" style="1687" customWidth="1"/>
    <col min="14" max="14" width="17.125" style="1687" customWidth="1"/>
    <col min="15" max="15" width="3.625" style="1687" customWidth="1"/>
    <col min="16" max="17" width="20.00390625" style="1708" customWidth="1"/>
    <col min="18" max="18" width="1.12109375" style="1708" customWidth="1"/>
    <col min="19" max="19" width="59.625" style="1687" customWidth="1"/>
    <col min="20" max="21" width="12.25390625" style="1687" customWidth="1"/>
    <col min="22" max="22" width="1.12109375" style="1687" customWidth="1"/>
    <col min="23" max="24" width="12.25390625" style="1687" customWidth="1"/>
    <col min="25" max="26" width="9.125" style="1687" customWidth="1"/>
    <col min="27" max="27" width="10.375" style="1687" customWidth="1"/>
    <col min="28" max="16384" width="9.125" style="1687" customWidth="1"/>
  </cols>
  <sheetData>
    <row r="1" spans="1:27" s="1542" customFormat="1" ht="15.75" customHeight="1">
      <c r="A1" s="1534"/>
      <c r="B1" s="1535" t="s">
        <v>1491</v>
      </c>
      <c r="C1" s="1535"/>
      <c r="D1" s="1535"/>
      <c r="E1" s="1536"/>
      <c r="F1" s="1537" t="s">
        <v>1492</v>
      </c>
      <c r="G1" s="1538" t="s">
        <v>1493</v>
      </c>
      <c r="H1" s="1536"/>
      <c r="I1" s="1539" t="s">
        <v>1494</v>
      </c>
      <c r="J1" s="1539"/>
      <c r="K1" s="1536"/>
      <c r="L1" s="1540" t="s">
        <v>1495</v>
      </c>
      <c r="M1" s="1536"/>
      <c r="N1" s="1541"/>
      <c r="O1" s="1536"/>
      <c r="P1" s="1694" t="s">
        <v>1867</v>
      </c>
      <c r="Q1" s="1695"/>
      <c r="R1" s="1741"/>
      <c r="S1" s="1534"/>
      <c r="T1" s="1534"/>
      <c r="U1" s="1534"/>
      <c r="V1" s="1534"/>
      <c r="W1" s="1552"/>
      <c r="X1" s="1552"/>
      <c r="Y1" s="1552"/>
      <c r="Z1" s="1552"/>
      <c r="AA1" s="1552"/>
    </row>
    <row r="2" spans="1:27" s="1547" customFormat="1" ht="20.25" customHeight="1">
      <c r="A2" s="1534"/>
      <c r="B2" s="2096" t="str">
        <f>+OTCHET!B9</f>
        <v>КОМИСИЯ ЗА РЕГУЛИРАНЕ НА СЪОБЩЕНИЯТА</v>
      </c>
      <c r="C2" s="2097"/>
      <c r="D2" s="2098"/>
      <c r="E2" s="1544"/>
      <c r="F2" s="1871">
        <f>+OTCHET!H9</f>
        <v>0</v>
      </c>
      <c r="G2" s="1910" t="str">
        <f>+OTCHET!F12</f>
        <v>4300</v>
      </c>
      <c r="H2" s="1545"/>
      <c r="I2" s="2099">
        <f>+OTCHET!H609</f>
        <v>0</v>
      </c>
      <c r="J2" s="2100"/>
      <c r="K2" s="1541"/>
      <c r="L2" s="2101" t="str">
        <f>+OTCHET!H607</f>
        <v>smadjarova@crc.bg</v>
      </c>
      <c r="M2" s="2102"/>
      <c r="N2" s="2103"/>
      <c r="O2" s="1546"/>
      <c r="P2" s="1693">
        <f>+OTCHET!E15</f>
        <v>0</v>
      </c>
      <c r="Q2" s="1697" t="str">
        <f>+OTCHET!F15</f>
        <v>БЮДЖЕТ</v>
      </c>
      <c r="R2" s="1699"/>
      <c r="S2" s="1534" t="s">
        <v>132</v>
      </c>
      <c r="T2" s="2104">
        <f>+OTCHET!I9</f>
        <v>0</v>
      </c>
      <c r="U2" s="2105"/>
      <c r="V2" s="1546"/>
      <c r="W2" s="1552"/>
      <c r="X2" s="1552"/>
      <c r="Y2" s="1552"/>
      <c r="Z2" s="1552"/>
      <c r="AA2" s="1552"/>
    </row>
    <row r="3" spans="1:27" s="1547" customFormat="1" ht="4.5" customHeight="1">
      <c r="A3" s="1534"/>
      <c r="B3" s="1548"/>
      <c r="C3" s="1548"/>
      <c r="D3" s="1548"/>
      <c r="E3" s="1544"/>
      <c r="F3" s="1549"/>
      <c r="G3" s="1546"/>
      <c r="H3" s="1545"/>
      <c r="I3" s="1546"/>
      <c r="J3" s="1546"/>
      <c r="K3" s="1545"/>
      <c r="L3" s="1541"/>
      <c r="M3" s="1536"/>
      <c r="N3" s="1541"/>
      <c r="O3" s="1546"/>
      <c r="P3" s="1698"/>
      <c r="Q3" s="1699"/>
      <c r="R3" s="1699"/>
      <c r="S3" s="1534"/>
      <c r="T3" s="1534"/>
      <c r="U3" s="1534"/>
      <c r="V3" s="1546"/>
      <c r="W3" s="1552"/>
      <c r="X3" s="1552"/>
      <c r="Y3" s="1552"/>
      <c r="Z3" s="1552"/>
      <c r="AA3" s="1552"/>
    </row>
    <row r="4" spans="1:27" s="1547" customFormat="1" ht="18.75" customHeight="1">
      <c r="A4" s="1534"/>
      <c r="B4" s="1742" t="s">
        <v>1866</v>
      </c>
      <c r="C4" s="1742"/>
      <c r="D4" s="1742"/>
      <c r="E4" s="1743"/>
      <c r="F4" s="1742"/>
      <c r="G4" s="1744"/>
      <c r="H4" s="1744"/>
      <c r="I4" s="1744"/>
      <c r="J4" s="1744" t="s">
        <v>1496</v>
      </c>
      <c r="K4" s="1545"/>
      <c r="L4" s="1550">
        <f>+Q4</f>
        <v>2018</v>
      </c>
      <c r="M4" s="1551"/>
      <c r="N4" s="1551"/>
      <c r="O4" s="1546"/>
      <c r="P4" s="1745" t="s">
        <v>1496</v>
      </c>
      <c r="Q4" s="1550">
        <f>+OTCHET!C3</f>
        <v>2018</v>
      </c>
      <c r="R4" s="1699"/>
      <c r="S4" s="2088" t="s">
        <v>1875</v>
      </c>
      <c r="T4" s="2088"/>
      <c r="U4" s="2088"/>
      <c r="V4" s="1534"/>
      <c r="W4" s="1552"/>
      <c r="X4" s="1552"/>
      <c r="Y4" s="1552"/>
      <c r="Z4" s="1552"/>
      <c r="AA4" s="1552"/>
    </row>
    <row r="5" spans="1:27" s="1547" customFormat="1" ht="2.25" customHeight="1">
      <c r="A5" s="1545"/>
      <c r="B5" s="1746"/>
      <c r="C5" s="1746"/>
      <c r="D5" s="1746"/>
      <c r="E5" s="1746"/>
      <c r="F5" s="1746"/>
      <c r="G5" s="1747"/>
      <c r="H5" s="1746"/>
      <c r="I5" s="1747"/>
      <c r="J5" s="1748"/>
      <c r="K5" s="1545"/>
      <c r="L5" s="1546"/>
      <c r="M5" s="1546"/>
      <c r="N5" s="1545"/>
      <c r="O5" s="1546"/>
      <c r="P5" s="1546"/>
      <c r="Q5" s="1700"/>
      <c r="R5" s="1699"/>
      <c r="S5" s="1534"/>
      <c r="T5" s="1534"/>
      <c r="U5" s="1534"/>
      <c r="V5" s="1534"/>
      <c r="W5" s="1552"/>
      <c r="X5" s="1552"/>
      <c r="Y5" s="1552"/>
      <c r="Z5" s="1552"/>
      <c r="AA5" s="1552"/>
    </row>
    <row r="6" spans="1:27" s="1542" customFormat="1" ht="17.25" customHeight="1">
      <c r="A6" s="1534"/>
      <c r="B6" s="1742" t="s">
        <v>1865</v>
      </c>
      <c r="C6" s="1742"/>
      <c r="D6" s="1742"/>
      <c r="E6" s="1743"/>
      <c r="F6" s="1749"/>
      <c r="G6" s="1749"/>
      <c r="H6" s="1743"/>
      <c r="I6" s="1749"/>
      <c r="J6" s="1750"/>
      <c r="K6" s="1544"/>
      <c r="L6" s="1872">
        <f>OTCHET!F9</f>
        <v>43190</v>
      </c>
      <c r="M6" s="1544"/>
      <c r="N6" s="1737" t="s">
        <v>1497</v>
      </c>
      <c r="O6" s="1536"/>
      <c r="P6" s="1873">
        <f>OTCHET!F9</f>
        <v>43190</v>
      </c>
      <c r="Q6" s="1737" t="s">
        <v>1497</v>
      </c>
      <c r="R6" s="1736"/>
      <c r="S6" s="2089">
        <f>+Q4</f>
        <v>2018</v>
      </c>
      <c r="T6" s="2089"/>
      <c r="U6" s="2089"/>
      <c r="V6" s="1534"/>
      <c r="W6" s="1552"/>
      <c r="X6" s="1552"/>
      <c r="Y6" s="1552"/>
      <c r="Z6" s="1552"/>
      <c r="AA6" s="1552"/>
    </row>
    <row r="7" spans="1:26" s="1542" customFormat="1" ht="4.5" customHeight="1" thickBot="1">
      <c r="A7" s="1534"/>
      <c r="B7" s="1553"/>
      <c r="C7" s="1553"/>
      <c r="D7" s="1553"/>
      <c r="E7" s="1544"/>
      <c r="F7" s="1554"/>
      <c r="G7" s="1554"/>
      <c r="H7" s="1544"/>
      <c r="I7" s="1554"/>
      <c r="J7" s="1554"/>
      <c r="K7" s="1544"/>
      <c r="L7" s="1554"/>
      <c r="M7" s="1544"/>
      <c r="N7" s="1554"/>
      <c r="O7" s="1555"/>
      <c r="P7" s="1702"/>
      <c r="Q7" s="1702"/>
      <c r="R7" s="1736"/>
      <c r="S7" s="1556"/>
      <c r="T7" s="1556"/>
      <c r="U7" s="1556"/>
      <c r="V7" s="1536"/>
      <c r="W7" s="1552"/>
      <c r="X7" s="1552"/>
      <c r="Y7" s="1552"/>
      <c r="Z7" s="1552"/>
    </row>
    <row r="8" spans="1:26" s="1542" customFormat="1" ht="57" customHeight="1">
      <c r="A8" s="1534"/>
      <c r="B8" s="1557"/>
      <c r="C8" s="1558"/>
      <c r="D8" s="1559"/>
      <c r="E8" s="1544"/>
      <c r="F8" s="1560" t="s">
        <v>1498</v>
      </c>
      <c r="G8" s="1561" t="s">
        <v>1499</v>
      </c>
      <c r="H8" s="1544"/>
      <c r="I8" s="1751" t="s">
        <v>1500</v>
      </c>
      <c r="J8" s="1562" t="s">
        <v>1501</v>
      </c>
      <c r="K8" s="1544"/>
      <c r="L8" s="1563" t="s">
        <v>1502</v>
      </c>
      <c r="M8" s="1544"/>
      <c r="N8" s="1564" t="s">
        <v>1503</v>
      </c>
      <c r="O8" s="1565"/>
      <c r="P8" s="1712" t="s">
        <v>1876</v>
      </c>
      <c r="Q8" s="1711" t="s">
        <v>1868</v>
      </c>
      <c r="R8" s="1736"/>
      <c r="S8" s="2090" t="s">
        <v>1681</v>
      </c>
      <c r="T8" s="2091"/>
      <c r="U8" s="2092"/>
      <c r="V8" s="1536"/>
      <c r="W8" s="1552"/>
      <c r="X8" s="1552"/>
      <c r="Y8" s="1552"/>
      <c r="Z8" s="1552"/>
    </row>
    <row r="9" spans="1:26" s="1542" customFormat="1" ht="18" customHeight="1" thickBot="1">
      <c r="A9" s="1534"/>
      <c r="B9" s="1566" t="s">
        <v>1504</v>
      </c>
      <c r="C9" s="1567"/>
      <c r="D9" s="1568"/>
      <c r="E9" s="1544"/>
      <c r="F9" s="1569">
        <f>+L4</f>
        <v>2018</v>
      </c>
      <c r="G9" s="1688">
        <f>+L6</f>
        <v>43190</v>
      </c>
      <c r="H9" s="1544"/>
      <c r="I9" s="1570">
        <f>+L4</f>
        <v>2018</v>
      </c>
      <c r="J9" s="1690">
        <f>+L6</f>
        <v>43190</v>
      </c>
      <c r="K9" s="1691"/>
      <c r="L9" s="1689">
        <f>+L6</f>
        <v>43190</v>
      </c>
      <c r="M9" s="1691"/>
      <c r="N9" s="1692">
        <f>+L6</f>
        <v>43190</v>
      </c>
      <c r="O9" s="1571"/>
      <c r="P9" s="1710">
        <f>+L4</f>
        <v>2018</v>
      </c>
      <c r="Q9" s="1709">
        <f>OTCHET!F9</f>
        <v>43190</v>
      </c>
      <c r="R9" s="1736"/>
      <c r="S9" s="2093" t="s">
        <v>1679</v>
      </c>
      <c r="T9" s="2094"/>
      <c r="U9" s="2095"/>
      <c r="V9" s="1572"/>
      <c r="W9" s="1552"/>
      <c r="X9" s="1552"/>
      <c r="Y9" s="1552"/>
      <c r="Z9" s="1552"/>
    </row>
    <row r="10" spans="1:26" s="1542" customFormat="1" ht="15.75">
      <c r="A10" s="1534"/>
      <c r="B10" s="1573" t="s">
        <v>1505</v>
      </c>
      <c r="C10" s="1574"/>
      <c r="D10" s="1575"/>
      <c r="E10" s="1544"/>
      <c r="F10" s="1576" t="s">
        <v>604</v>
      </c>
      <c r="G10" s="1577" t="s">
        <v>605</v>
      </c>
      <c r="H10" s="1544"/>
      <c r="I10" s="1576" t="s">
        <v>1365</v>
      </c>
      <c r="J10" s="1577" t="s">
        <v>1366</v>
      </c>
      <c r="K10" s="1544"/>
      <c r="L10" s="1577" t="s">
        <v>1339</v>
      </c>
      <c r="M10" s="1544"/>
      <c r="N10" s="1578" t="s">
        <v>1506</v>
      </c>
      <c r="O10" s="1579"/>
      <c r="P10" s="1703" t="s">
        <v>604</v>
      </c>
      <c r="Q10" s="1704" t="s">
        <v>605</v>
      </c>
      <c r="R10" s="1736"/>
      <c r="S10" s="1824"/>
      <c r="T10" s="1825"/>
      <c r="U10" s="1826"/>
      <c r="V10" s="1572"/>
      <c r="W10" s="1552"/>
      <c r="X10" s="1552"/>
      <c r="Y10" s="1552"/>
      <c r="Z10" s="1552"/>
    </row>
    <row r="11" spans="1:26" s="1542" customFormat="1" ht="15.75">
      <c r="A11" s="1580"/>
      <c r="B11" s="1714" t="s">
        <v>1507</v>
      </c>
      <c r="C11" s="1581"/>
      <c r="D11" s="1582"/>
      <c r="E11" s="1544"/>
      <c r="F11" s="1752"/>
      <c r="G11" s="1761"/>
      <c r="H11" s="1544"/>
      <c r="I11" s="1752"/>
      <c r="J11" s="1752"/>
      <c r="K11" s="1754"/>
      <c r="L11" s="1752"/>
      <c r="M11" s="1754"/>
      <c r="N11" s="1892"/>
      <c r="O11" s="1893"/>
      <c r="P11" s="1752"/>
      <c r="Q11" s="1752"/>
      <c r="R11" s="1736"/>
      <c r="S11" s="1714" t="s">
        <v>1507</v>
      </c>
      <c r="T11" s="1581"/>
      <c r="U11" s="1582"/>
      <c r="V11" s="1572"/>
      <c r="W11" s="1552"/>
      <c r="X11" s="1552"/>
      <c r="Y11" s="1552"/>
      <c r="Z11" s="1552"/>
    </row>
    <row r="12" spans="1:26" s="1542" customFormat="1" ht="15.75">
      <c r="A12" s="1580"/>
      <c r="B12" s="1717" t="s">
        <v>1508</v>
      </c>
      <c r="C12" s="1594"/>
      <c r="D12" s="1595"/>
      <c r="E12" s="1544"/>
      <c r="F12" s="1764"/>
      <c r="G12" s="1763"/>
      <c r="H12" s="1544"/>
      <c r="I12" s="1764"/>
      <c r="J12" s="1764"/>
      <c r="K12" s="1754"/>
      <c r="L12" s="1764"/>
      <c r="M12" s="1754"/>
      <c r="N12" s="1894"/>
      <c r="O12" s="1893"/>
      <c r="P12" s="1764"/>
      <c r="Q12" s="1764"/>
      <c r="R12" s="1736"/>
      <c r="S12" s="1717" t="s">
        <v>1508</v>
      </c>
      <c r="T12" s="1594"/>
      <c r="U12" s="1595"/>
      <c r="V12" s="1572"/>
      <c r="W12" s="1552"/>
      <c r="X12" s="1552"/>
      <c r="Y12" s="1552"/>
      <c r="Z12" s="1552"/>
    </row>
    <row r="13" spans="1:26" s="1542" customFormat="1" ht="15.75">
      <c r="A13" s="1580"/>
      <c r="B13" s="1718" t="s">
        <v>1509</v>
      </c>
      <c r="C13" s="1596"/>
      <c r="D13" s="1597"/>
      <c r="E13" s="1544"/>
      <c r="F13" s="1753">
        <f>+IF($P$2=0,$P13,0)</f>
        <v>0</v>
      </c>
      <c r="G13" s="1781">
        <f>+IF($P$2=0,$Q13,0)</f>
        <v>0</v>
      </c>
      <c r="H13" s="1544"/>
      <c r="I13" s="1753">
        <f>+IF(OR($P$2=98,$P$2=42,$P$2=96,$P$2=97),$P13,0)</f>
        <v>0</v>
      </c>
      <c r="J13" s="1781">
        <f>+IF(OR($P$2=98,$P$2=42,$P$2=96,$P$2=97),$Q13,0)</f>
        <v>0</v>
      </c>
      <c r="K13" s="1754"/>
      <c r="L13" s="1781">
        <f>+IF($P$2=33,$Q13,0)</f>
        <v>0</v>
      </c>
      <c r="M13" s="1754"/>
      <c r="N13" s="1755">
        <f>+ROUND(+G13+J13+L13,0)</f>
        <v>0</v>
      </c>
      <c r="O13" s="1893"/>
      <c r="P13" s="1753">
        <f>+ROUND(OTCHET!E22+OTCHET!E28+OTCHET!E33+OTCHET!E39+OTCHET!E47+OTCHET!E52+OTCHET!E58+OTCHET!E61+OTCHET!E64+OTCHET!E65+OTCHET!E72+OTCHET!E73+OTCHET!E74,0)</f>
        <v>0</v>
      </c>
      <c r="Q13" s="1781">
        <f>+ROUND(OTCHET!F22+OTCHET!F28+OTCHET!F33+OTCHET!F39+OTCHET!F47+OTCHET!F52+OTCHET!F58+OTCHET!F61+OTCHET!F64+OTCHET!F65+OTCHET!F72+OTCHET!F73+OTCHET!F74,0)</f>
        <v>0</v>
      </c>
      <c r="R13" s="1736"/>
      <c r="S13" s="2037" t="s">
        <v>1877</v>
      </c>
      <c r="T13" s="2038"/>
      <c r="U13" s="2039"/>
      <c r="V13" s="1572"/>
      <c r="W13" s="1552"/>
      <c r="X13" s="1552"/>
      <c r="Y13" s="1552"/>
      <c r="Z13" s="1552"/>
    </row>
    <row r="14" spans="1:26" s="1542" customFormat="1" ht="15.75">
      <c r="A14" s="1580"/>
      <c r="B14" s="1734" t="s">
        <v>2177</v>
      </c>
      <c r="C14" s="1644"/>
      <c r="D14" s="1645"/>
      <c r="E14" s="1544"/>
      <c r="F14" s="1787">
        <f aca="true" t="shared" si="0" ref="F14:F22">+IF($P$2=0,$P14,0)</f>
        <v>62950000</v>
      </c>
      <c r="G14" s="1786">
        <f aca="true" t="shared" si="1" ref="G14:G22">+IF($P$2=0,$Q14,0)</f>
        <v>43785780</v>
      </c>
      <c r="H14" s="1544"/>
      <c r="I14" s="1787">
        <f aca="true" t="shared" si="2" ref="I14:I22">+IF(OR($P$2=98,$P$2=42,$P$2=96,$P$2=97),$P14,0)</f>
        <v>0</v>
      </c>
      <c r="J14" s="1786">
        <f aca="true" t="shared" si="3" ref="J14:J22">+IF(OR($P$2=98,$P$2=42,$P$2=96,$P$2=97),$Q14,0)</f>
        <v>0</v>
      </c>
      <c r="K14" s="1754"/>
      <c r="L14" s="1786">
        <f aca="true" t="shared" si="4" ref="L14:L22">+IF($P$2=33,$Q14,0)</f>
        <v>0</v>
      </c>
      <c r="M14" s="1754"/>
      <c r="N14" s="1756">
        <f aca="true" t="shared" si="5" ref="N14:N22">+ROUND(+G14+J14+L14,0)</f>
        <v>43785780</v>
      </c>
      <c r="O14" s="1893"/>
      <c r="P14" s="1787">
        <f>+ROUND(+OTCHET!E91+OTCHET!E94+OTCHET!E95+OTCHET!E116+OTCHET!E117,0)</f>
        <v>62950000</v>
      </c>
      <c r="Q14" s="1786">
        <f>+ROUND(+OTCHET!F91+OTCHET!F94+OTCHET!F95+OTCHET!F116+OTCHET!F117,0)</f>
        <v>43785780</v>
      </c>
      <c r="R14" s="1736"/>
      <c r="S14" s="2082" t="s">
        <v>2175</v>
      </c>
      <c r="T14" s="2083"/>
      <c r="U14" s="2084"/>
      <c r="V14" s="1572"/>
      <c r="W14" s="1552"/>
      <c r="X14" s="1552"/>
      <c r="Y14" s="1552"/>
      <c r="Z14" s="1552"/>
    </row>
    <row r="15" spans="1:26" s="1542" customFormat="1" ht="15.75">
      <c r="A15" s="1580"/>
      <c r="B15" s="1727" t="s">
        <v>2174</v>
      </c>
      <c r="C15" s="2008"/>
      <c r="D15" s="2009"/>
      <c r="E15" s="1544"/>
      <c r="F15" s="2010">
        <f t="shared" si="0"/>
        <v>0</v>
      </c>
      <c r="G15" s="2011">
        <f t="shared" si="1"/>
        <v>0</v>
      </c>
      <c r="H15" s="1544"/>
      <c r="I15" s="2010">
        <f t="shared" si="2"/>
        <v>0</v>
      </c>
      <c r="J15" s="2011">
        <f t="shared" si="3"/>
        <v>0</v>
      </c>
      <c r="K15" s="1754"/>
      <c r="L15" s="2011">
        <f t="shared" si="4"/>
        <v>0</v>
      </c>
      <c r="M15" s="1754"/>
      <c r="N15" s="2012">
        <f t="shared" si="5"/>
        <v>0</v>
      </c>
      <c r="O15" s="1893"/>
      <c r="P15" s="2010">
        <f>+ROUND(+OTCHET!E116+OTCHET!E117,0)</f>
        <v>0</v>
      </c>
      <c r="Q15" s="2011">
        <f>+OTCHET!F116+OTCHET!F117</f>
        <v>0</v>
      </c>
      <c r="R15" s="1736"/>
      <c r="S15" s="2085" t="s">
        <v>2176</v>
      </c>
      <c r="T15" s="2086"/>
      <c r="U15" s="2087"/>
      <c r="V15" s="1572"/>
      <c r="W15" s="1552"/>
      <c r="X15" s="1552"/>
      <c r="Y15" s="1552"/>
      <c r="Z15" s="1552"/>
    </row>
    <row r="16" spans="1:26" s="1542" customFormat="1" ht="15.75">
      <c r="A16" s="1580"/>
      <c r="B16" s="1718" t="s">
        <v>1510</v>
      </c>
      <c r="C16" s="1596"/>
      <c r="D16" s="1597"/>
      <c r="E16" s="1544"/>
      <c r="F16" s="1875">
        <f t="shared" si="0"/>
        <v>250000</v>
      </c>
      <c r="G16" s="1874">
        <f t="shared" si="1"/>
        <v>250051</v>
      </c>
      <c r="H16" s="1544"/>
      <c r="I16" s="1875">
        <f t="shared" si="2"/>
        <v>0</v>
      </c>
      <c r="J16" s="1874">
        <f t="shared" si="3"/>
        <v>0</v>
      </c>
      <c r="K16" s="1754"/>
      <c r="L16" s="1874">
        <f t="shared" si="4"/>
        <v>0</v>
      </c>
      <c r="M16" s="1754"/>
      <c r="N16" s="1756">
        <f t="shared" si="5"/>
        <v>250051</v>
      </c>
      <c r="O16" s="1893"/>
      <c r="P16" s="1875">
        <f>+ROUND(+OTCHET!E111+OTCHET!E112,0)</f>
        <v>250000</v>
      </c>
      <c r="Q16" s="1874">
        <f>+ROUND(+OTCHET!F111+OTCHET!F112,0)</f>
        <v>250051</v>
      </c>
      <c r="R16" s="1736"/>
      <c r="S16" s="2037" t="s">
        <v>1878</v>
      </c>
      <c r="T16" s="2038"/>
      <c r="U16" s="2039"/>
      <c r="V16" s="1572"/>
      <c r="W16" s="1552"/>
      <c r="X16" s="1552"/>
      <c r="Y16" s="1552"/>
      <c r="Z16" s="1552"/>
    </row>
    <row r="17" spans="1:26" s="1542" customFormat="1" ht="15.75">
      <c r="A17" s="1580"/>
      <c r="B17" s="1713" t="s">
        <v>1511</v>
      </c>
      <c r="C17" s="1587"/>
      <c r="D17" s="1588"/>
      <c r="E17" s="1544"/>
      <c r="F17" s="1875">
        <f t="shared" si="0"/>
        <v>0</v>
      </c>
      <c r="G17" s="1874">
        <f t="shared" si="1"/>
        <v>0</v>
      </c>
      <c r="H17" s="1544"/>
      <c r="I17" s="1875">
        <f t="shared" si="2"/>
        <v>0</v>
      </c>
      <c r="J17" s="1874">
        <f t="shared" si="3"/>
        <v>0</v>
      </c>
      <c r="K17" s="1754"/>
      <c r="L17" s="1874">
        <f t="shared" si="4"/>
        <v>0</v>
      </c>
      <c r="M17" s="1754"/>
      <c r="N17" s="1756">
        <f t="shared" si="5"/>
        <v>0</v>
      </c>
      <c r="O17" s="1893"/>
      <c r="P17" s="1875">
        <f>+ROUND(OTCHET!E78,0)</f>
        <v>0</v>
      </c>
      <c r="Q17" s="1874">
        <f>+ROUND(OTCHET!F78,0)</f>
        <v>0</v>
      </c>
      <c r="R17" s="1736"/>
      <c r="S17" s="2028" t="s">
        <v>1879</v>
      </c>
      <c r="T17" s="2029"/>
      <c r="U17" s="2030"/>
      <c r="V17" s="1572"/>
      <c r="W17" s="1552"/>
      <c r="X17" s="1552"/>
      <c r="Y17" s="1552"/>
      <c r="Z17" s="1552"/>
    </row>
    <row r="18" spans="1:26" s="1542" customFormat="1" ht="15.75">
      <c r="A18" s="1580"/>
      <c r="B18" s="1713" t="s">
        <v>1512</v>
      </c>
      <c r="C18" s="1587"/>
      <c r="D18" s="1588"/>
      <c r="E18" s="1544"/>
      <c r="F18" s="1875">
        <f t="shared" si="0"/>
        <v>0</v>
      </c>
      <c r="G18" s="1874">
        <f t="shared" si="1"/>
        <v>0</v>
      </c>
      <c r="H18" s="1544"/>
      <c r="I18" s="1875">
        <f t="shared" si="2"/>
        <v>0</v>
      </c>
      <c r="J18" s="1874">
        <f t="shared" si="3"/>
        <v>0</v>
      </c>
      <c r="K18" s="1754"/>
      <c r="L18" s="1874">
        <f t="shared" si="4"/>
        <v>0</v>
      </c>
      <c r="M18" s="1754"/>
      <c r="N18" s="1756">
        <f t="shared" si="5"/>
        <v>0</v>
      </c>
      <c r="O18" s="1893"/>
      <c r="P18" s="1875">
        <f>+ROUND(OTCHET!E79+OTCHET!E80,0)</f>
        <v>0</v>
      </c>
      <c r="Q18" s="1874">
        <f>+ROUND(OTCHET!F79+OTCHET!F80,0)</f>
        <v>0</v>
      </c>
      <c r="R18" s="1736"/>
      <c r="S18" s="2028" t="s">
        <v>1880</v>
      </c>
      <c r="T18" s="2029"/>
      <c r="U18" s="2030"/>
      <c r="V18" s="1572"/>
      <c r="W18" s="1552"/>
      <c r="X18" s="1552"/>
      <c r="Y18" s="1552"/>
      <c r="Z18" s="1552"/>
    </row>
    <row r="19" spans="1:26" s="1542" customFormat="1" ht="15.75">
      <c r="A19" s="1580"/>
      <c r="B19" s="1713" t="s">
        <v>1881</v>
      </c>
      <c r="C19" s="1587"/>
      <c r="D19" s="1588"/>
      <c r="E19" s="1544"/>
      <c r="F19" s="1875">
        <f t="shared" si="0"/>
        <v>0</v>
      </c>
      <c r="G19" s="1874">
        <f t="shared" si="1"/>
        <v>0</v>
      </c>
      <c r="H19" s="1544"/>
      <c r="I19" s="1875">
        <f t="shared" si="2"/>
        <v>0</v>
      </c>
      <c r="J19" s="1874">
        <f t="shared" si="3"/>
        <v>0</v>
      </c>
      <c r="K19" s="1754"/>
      <c r="L19" s="1874">
        <f t="shared" si="4"/>
        <v>0</v>
      </c>
      <c r="M19" s="1754"/>
      <c r="N19" s="1756">
        <f t="shared" si="5"/>
        <v>0</v>
      </c>
      <c r="O19" s="1893"/>
      <c r="P19" s="1875">
        <f>+ROUND(OTCHET!E138++OTCHET!E139,0)</f>
        <v>0</v>
      </c>
      <c r="Q19" s="1874">
        <f>+ROUND(OTCHET!F138++OTCHET!F139,0)</f>
        <v>0</v>
      </c>
      <c r="R19" s="1736"/>
      <c r="S19" s="2028" t="s">
        <v>1882</v>
      </c>
      <c r="T19" s="2029"/>
      <c r="U19" s="2030"/>
      <c r="V19" s="1572"/>
      <c r="W19" s="1552"/>
      <c r="X19" s="1552"/>
      <c r="Y19" s="1552"/>
      <c r="Z19" s="1552"/>
    </row>
    <row r="20" spans="1:26" s="1542" customFormat="1" ht="15.75">
      <c r="A20" s="1580"/>
      <c r="B20" s="1713" t="s">
        <v>1513</v>
      </c>
      <c r="C20" s="1587"/>
      <c r="D20" s="1588"/>
      <c r="E20" s="1544"/>
      <c r="F20" s="1875">
        <f t="shared" si="0"/>
        <v>0</v>
      </c>
      <c r="G20" s="1874">
        <f t="shared" si="1"/>
        <v>0</v>
      </c>
      <c r="H20" s="1544"/>
      <c r="I20" s="1875">
        <f t="shared" si="2"/>
        <v>0</v>
      </c>
      <c r="J20" s="1874">
        <f t="shared" si="3"/>
        <v>0</v>
      </c>
      <c r="K20" s="1754"/>
      <c r="L20" s="1874">
        <f t="shared" si="4"/>
        <v>0</v>
      </c>
      <c r="M20" s="1754"/>
      <c r="N20" s="1756">
        <f t="shared" si="5"/>
        <v>0</v>
      </c>
      <c r="O20" s="1893"/>
      <c r="P20" s="1875">
        <f>+ROUND(+SUM(OTCHET!E82:E90),0)</f>
        <v>0</v>
      </c>
      <c r="Q20" s="1874">
        <f>+ROUND(+SUM(OTCHET!F82:F90),0)</f>
        <v>0</v>
      </c>
      <c r="R20" s="1736"/>
      <c r="S20" s="2028" t="s">
        <v>1883</v>
      </c>
      <c r="T20" s="2029"/>
      <c r="U20" s="2030"/>
      <c r="V20" s="1572"/>
      <c r="W20" s="1552"/>
      <c r="X20" s="1552"/>
      <c r="Y20" s="1552"/>
      <c r="Z20" s="1552"/>
    </row>
    <row r="21" spans="1:26" s="1542" customFormat="1" ht="15.75">
      <c r="A21" s="1580"/>
      <c r="B21" s="1713" t="s">
        <v>1514</v>
      </c>
      <c r="C21" s="1587"/>
      <c r="D21" s="1588"/>
      <c r="E21" s="1544"/>
      <c r="F21" s="1875">
        <f t="shared" si="0"/>
        <v>0</v>
      </c>
      <c r="G21" s="1874">
        <f t="shared" si="1"/>
        <v>0</v>
      </c>
      <c r="H21" s="1544"/>
      <c r="I21" s="1875">
        <f t="shared" si="2"/>
        <v>0</v>
      </c>
      <c r="J21" s="1874">
        <f t="shared" si="3"/>
        <v>0</v>
      </c>
      <c r="K21" s="1754"/>
      <c r="L21" s="1874">
        <f t="shared" si="4"/>
        <v>0</v>
      </c>
      <c r="M21" s="1754"/>
      <c r="N21" s="1756">
        <f t="shared" si="5"/>
        <v>0</v>
      </c>
      <c r="O21" s="1893"/>
      <c r="P21" s="1875">
        <f>+ROUND(OTCHET!E76+OTCHET!E77+OTCHET!E81,0)</f>
        <v>0</v>
      </c>
      <c r="Q21" s="1874">
        <f>+ROUND(OTCHET!F76+OTCHET!F77+OTCHET!F81,0)</f>
        <v>0</v>
      </c>
      <c r="R21" s="1736"/>
      <c r="S21" s="2028" t="s">
        <v>1884</v>
      </c>
      <c r="T21" s="2029"/>
      <c r="U21" s="2030"/>
      <c r="V21" s="1572"/>
      <c r="W21" s="1552"/>
      <c r="X21" s="1552"/>
      <c r="Y21" s="1552"/>
      <c r="Z21" s="1552"/>
    </row>
    <row r="22" spans="1:26" s="1542" customFormat="1" ht="15.75">
      <c r="A22" s="1580"/>
      <c r="B22" s="1716" t="s">
        <v>1515</v>
      </c>
      <c r="C22" s="1589"/>
      <c r="D22" s="1590"/>
      <c r="E22" s="1544"/>
      <c r="F22" s="1787">
        <f t="shared" si="0"/>
        <v>0</v>
      </c>
      <c r="G22" s="1786">
        <f t="shared" si="1"/>
        <v>775</v>
      </c>
      <c r="H22" s="1544"/>
      <c r="I22" s="1787">
        <f t="shared" si="2"/>
        <v>0</v>
      </c>
      <c r="J22" s="1786">
        <f t="shared" si="3"/>
        <v>0</v>
      </c>
      <c r="K22" s="1754"/>
      <c r="L22" s="1786">
        <f t="shared" si="4"/>
        <v>0</v>
      </c>
      <c r="M22" s="1754"/>
      <c r="N22" s="1757">
        <f t="shared" si="5"/>
        <v>775</v>
      </c>
      <c r="O22" s="1893"/>
      <c r="P22" s="1787">
        <f>+ROUND(OTCHET!E114+OTCHET!E115+OTCHET!E121,0)</f>
        <v>0</v>
      </c>
      <c r="Q22" s="1786">
        <f>+ROUND(OTCHET!F114+OTCHET!F115+OTCHET!F121,0)</f>
        <v>775</v>
      </c>
      <c r="R22" s="1736"/>
      <c r="S22" s="2067" t="s">
        <v>2178</v>
      </c>
      <c r="T22" s="2068"/>
      <c r="U22" s="2069"/>
      <c r="V22" s="1572"/>
      <c r="W22" s="1552"/>
      <c r="X22" s="1552"/>
      <c r="Y22" s="1552"/>
      <c r="Z22" s="1552"/>
    </row>
    <row r="23" spans="1:26" s="1542" customFormat="1" ht="15.75">
      <c r="A23" s="1580"/>
      <c r="B23" s="1591" t="s">
        <v>1516</v>
      </c>
      <c r="C23" s="1592"/>
      <c r="D23" s="1593"/>
      <c r="E23" s="1544"/>
      <c r="F23" s="1759">
        <f>+ROUND(+SUM(F13,F14,F16,F17,F18,F19,F20,F21,F22),0)</f>
        <v>63200000</v>
      </c>
      <c r="G23" s="1758">
        <f>+ROUND(+SUM(G13,G14,G16,G17,G18,G19,G20,G21,G22),0)</f>
        <v>44036606</v>
      </c>
      <c r="H23" s="1544"/>
      <c r="I23" s="1759">
        <f>+ROUND(+SUM(I13,I14,I16,I17,I18,I19,I20,I21,I22),0)</f>
        <v>0</v>
      </c>
      <c r="J23" s="1758">
        <f>+ROUND(+SUM(J13,J14,J16,J17,J18,J19,J20,J21,J22),0)</f>
        <v>0</v>
      </c>
      <c r="K23" s="1754"/>
      <c r="L23" s="1758">
        <f>+ROUND(+SUM(L13,L14,L16,L17,L18,L19,L20,L21,L22),0)</f>
        <v>0</v>
      </c>
      <c r="M23" s="1754"/>
      <c r="N23" s="1760">
        <f>+ROUND(+SUM(N13,N14,N16,N17,N18,N19,N20,N21,N22),0)</f>
        <v>44036606</v>
      </c>
      <c r="O23" s="1893"/>
      <c r="P23" s="1759">
        <f>+ROUND(+SUM(P13,P14,P16,P17,P18,P19,P20,P21,P22),0)</f>
        <v>63200000</v>
      </c>
      <c r="Q23" s="1758">
        <f>+ROUND(+SUM(Q13,Q14,Q16,Q17,Q18,Q19,Q20,Q21,Q22),0)</f>
        <v>44036606</v>
      </c>
      <c r="R23" s="1736"/>
      <c r="S23" s="2049" t="s">
        <v>1885</v>
      </c>
      <c r="T23" s="2050"/>
      <c r="U23" s="2051"/>
      <c r="V23" s="1572"/>
      <c r="W23" s="1552"/>
      <c r="X23" s="1552"/>
      <c r="Y23" s="1552"/>
      <c r="Z23" s="1552"/>
    </row>
    <row r="24" spans="1:26" s="1542" customFormat="1" ht="15.75">
      <c r="A24" s="1580"/>
      <c r="B24" s="1717" t="s">
        <v>1869</v>
      </c>
      <c r="C24" s="1594"/>
      <c r="D24" s="1595"/>
      <c r="E24" s="1544"/>
      <c r="F24" s="1752"/>
      <c r="G24" s="1761"/>
      <c r="H24" s="1544"/>
      <c r="I24" s="1752"/>
      <c r="J24" s="1761"/>
      <c r="K24" s="1754"/>
      <c r="L24" s="1761"/>
      <c r="M24" s="1754"/>
      <c r="N24" s="1762"/>
      <c r="O24" s="1893"/>
      <c r="P24" s="1752"/>
      <c r="Q24" s="1761"/>
      <c r="R24" s="1736"/>
      <c r="S24" s="1717" t="s">
        <v>1869</v>
      </c>
      <c r="T24" s="1594"/>
      <c r="U24" s="1595"/>
      <c r="V24" s="1572"/>
      <c r="W24" s="1552"/>
      <c r="X24" s="1552"/>
      <c r="Y24" s="1552"/>
      <c r="Z24" s="1552"/>
    </row>
    <row r="25" spans="1:26" s="1542" customFormat="1" ht="15.75">
      <c r="A25" s="1580"/>
      <c r="B25" s="1718" t="s">
        <v>1517</v>
      </c>
      <c r="C25" s="1596"/>
      <c r="D25" s="1597"/>
      <c r="E25" s="1544"/>
      <c r="F25" s="1753">
        <f>+IF($P$2=0,$P25,0)</f>
        <v>0</v>
      </c>
      <c r="G25" s="1781">
        <f>+IF($P$2=0,$Q25,0)</f>
        <v>0</v>
      </c>
      <c r="H25" s="1544"/>
      <c r="I25" s="1753">
        <f>+IF(OR($P$2=98,$P$2=42,$P$2=96,$P$2=97),$P25,0)</f>
        <v>0</v>
      </c>
      <c r="J25" s="1781">
        <f>+IF(OR($P$2=98,$P$2=42,$P$2=96,$P$2=97),$Q25,0)</f>
        <v>0</v>
      </c>
      <c r="K25" s="1754"/>
      <c r="L25" s="1781">
        <f>+IF($P$2=33,$Q25,0)</f>
        <v>0</v>
      </c>
      <c r="M25" s="1754"/>
      <c r="N25" s="1755">
        <f>+ROUND(+G25+J25+L25,0)</f>
        <v>0</v>
      </c>
      <c r="O25" s="1893"/>
      <c r="P25" s="1753">
        <f>+ROUND(OTCHET!E136,0)</f>
        <v>0</v>
      </c>
      <c r="Q25" s="1781">
        <f>+ROUND(OTCHET!F136,0)</f>
        <v>0</v>
      </c>
      <c r="R25" s="1736"/>
      <c r="S25" s="2037" t="s">
        <v>1886</v>
      </c>
      <c r="T25" s="2038"/>
      <c r="U25" s="2039"/>
      <c r="V25" s="1572"/>
      <c r="W25" s="1552"/>
      <c r="X25" s="1552"/>
      <c r="Y25" s="1552"/>
      <c r="Z25" s="1552"/>
    </row>
    <row r="26" spans="1:26" s="1542" customFormat="1" ht="15.75">
      <c r="A26" s="1580"/>
      <c r="B26" s="1713" t="s">
        <v>1518</v>
      </c>
      <c r="C26" s="1587"/>
      <c r="D26" s="1588"/>
      <c r="E26" s="1544"/>
      <c r="F26" s="1875">
        <f>+IF($P$2=0,$P26,0)</f>
        <v>0</v>
      </c>
      <c r="G26" s="1874">
        <f>+IF($P$2=0,$Q26,0)</f>
        <v>0</v>
      </c>
      <c r="H26" s="1544"/>
      <c r="I26" s="1875">
        <f>+IF(OR($P$2=98,$P$2=42,$P$2=96,$P$2=97),$P26,0)</f>
        <v>0</v>
      </c>
      <c r="J26" s="1874">
        <f>+IF(OR($P$2=98,$P$2=42,$P$2=96,$P$2=97),$Q26,0)</f>
        <v>0</v>
      </c>
      <c r="K26" s="1754"/>
      <c r="L26" s="1874">
        <f>+IF($P$2=33,$Q26,0)</f>
        <v>0</v>
      </c>
      <c r="M26" s="1754"/>
      <c r="N26" s="1756">
        <f>+ROUND(+G26+J26+L26,0)</f>
        <v>0</v>
      </c>
      <c r="O26" s="1893"/>
      <c r="P26" s="1875">
        <f>+ROUND(+SUM(OTCHET!E127:E135)+OTCHET!E137,0)</f>
        <v>0</v>
      </c>
      <c r="Q26" s="1874">
        <f>+ROUND(+SUM(OTCHET!F127:F135)+OTCHET!F137,0)</f>
        <v>0</v>
      </c>
      <c r="R26" s="1736"/>
      <c r="S26" s="2028" t="s">
        <v>1887</v>
      </c>
      <c r="T26" s="2029"/>
      <c r="U26" s="2030"/>
      <c r="V26" s="1572"/>
      <c r="W26" s="1552"/>
      <c r="X26" s="1552"/>
      <c r="Y26" s="1552"/>
      <c r="Z26" s="1552"/>
    </row>
    <row r="27" spans="1:26" s="1542" customFormat="1" ht="15.75">
      <c r="A27" s="1580"/>
      <c r="B27" s="1716" t="s">
        <v>1870</v>
      </c>
      <c r="C27" s="1589"/>
      <c r="D27" s="1590"/>
      <c r="E27" s="1544"/>
      <c r="F27" s="1787">
        <f>+IF($P$2=0,$P27,0)</f>
        <v>0</v>
      </c>
      <c r="G27" s="1786">
        <f>+IF($P$2=0,$Q27,0)</f>
        <v>0</v>
      </c>
      <c r="H27" s="1544"/>
      <c r="I27" s="1787">
        <f>+IF(OR($P$2=98,$P$2=42,$P$2=96,$P$2=97),$P27,0)</f>
        <v>0</v>
      </c>
      <c r="J27" s="1786">
        <f>+IF(OR($P$2=98,$P$2=42,$P$2=96,$P$2=97),$Q27,0)</f>
        <v>0</v>
      </c>
      <c r="K27" s="1754"/>
      <c r="L27" s="1786">
        <f>+IF($P$2=33,$Q27,0)</f>
        <v>0</v>
      </c>
      <c r="M27" s="1754"/>
      <c r="N27" s="1757">
        <f>+ROUND(+G27+J27+L27,0)</f>
        <v>0</v>
      </c>
      <c r="O27" s="1893"/>
      <c r="P27" s="1787">
        <f>+ROUND(+OTCHET!E110,0)</f>
        <v>0</v>
      </c>
      <c r="Q27" s="1786">
        <f>+ROUND(+OTCHET!F110,0)</f>
        <v>0</v>
      </c>
      <c r="R27" s="1736"/>
      <c r="S27" s="2067" t="s">
        <v>1888</v>
      </c>
      <c r="T27" s="2068"/>
      <c r="U27" s="2069"/>
      <c r="V27" s="1572"/>
      <c r="W27" s="1552"/>
      <c r="X27" s="1552"/>
      <c r="Y27" s="1552"/>
      <c r="Z27" s="1552"/>
    </row>
    <row r="28" spans="1:26" s="1542" customFormat="1" ht="15.75">
      <c r="A28" s="1580"/>
      <c r="B28" s="1591" t="s">
        <v>1519</v>
      </c>
      <c r="C28" s="1592"/>
      <c r="D28" s="1593"/>
      <c r="E28" s="1544"/>
      <c r="F28" s="1759">
        <f>+ROUND(+SUM(F25:F27),0)</f>
        <v>0</v>
      </c>
      <c r="G28" s="1758">
        <f>+ROUND(+SUM(G25:G27),0)</f>
        <v>0</v>
      </c>
      <c r="H28" s="1544"/>
      <c r="I28" s="1759">
        <f>+ROUND(+SUM(I25:I27),0)</f>
        <v>0</v>
      </c>
      <c r="J28" s="1758">
        <f>+ROUND(+SUM(J25:J27),0)</f>
        <v>0</v>
      </c>
      <c r="K28" s="1754"/>
      <c r="L28" s="1758">
        <f>+ROUND(+SUM(L25:L27),0)</f>
        <v>0</v>
      </c>
      <c r="M28" s="1754"/>
      <c r="N28" s="1760">
        <f>+ROUND(+SUM(N25:N27),0)</f>
        <v>0</v>
      </c>
      <c r="O28" s="1893"/>
      <c r="P28" s="1759">
        <f>+ROUND(+SUM(P25:P27),0)</f>
        <v>0</v>
      </c>
      <c r="Q28" s="1758">
        <f>+ROUND(+SUM(Q25:Q27),0)</f>
        <v>0</v>
      </c>
      <c r="R28" s="1736"/>
      <c r="S28" s="2049" t="s">
        <v>1889</v>
      </c>
      <c r="T28" s="2050"/>
      <c r="U28" s="2051"/>
      <c r="V28" s="1572"/>
      <c r="W28" s="1552"/>
      <c r="X28" s="1552"/>
      <c r="Y28" s="1552"/>
      <c r="Z28" s="1552"/>
    </row>
    <row r="29" spans="1:26" s="1542" customFormat="1" ht="6" customHeight="1">
      <c r="A29" s="1580"/>
      <c r="B29" s="1598"/>
      <c r="C29" s="1599"/>
      <c r="D29" s="1600"/>
      <c r="E29" s="1544"/>
      <c r="F29" s="1764"/>
      <c r="G29" s="1763"/>
      <c r="H29" s="1544"/>
      <c r="I29" s="1764"/>
      <c r="J29" s="1763"/>
      <c r="K29" s="1754"/>
      <c r="L29" s="1763"/>
      <c r="M29" s="1754"/>
      <c r="N29" s="1765"/>
      <c r="O29" s="1893"/>
      <c r="P29" s="1764"/>
      <c r="Q29" s="1763"/>
      <c r="R29" s="1736"/>
      <c r="S29" s="1827"/>
      <c r="T29" s="1828"/>
      <c r="U29" s="1829"/>
      <c r="V29" s="1572"/>
      <c r="W29" s="1552"/>
      <c r="X29" s="1552"/>
      <c r="Y29" s="1552"/>
      <c r="Z29" s="1552"/>
    </row>
    <row r="30" spans="1:26" s="1542" customFormat="1" ht="15.75" hidden="1">
      <c r="A30" s="1580"/>
      <c r="B30" s="1719" t="s">
        <v>1520</v>
      </c>
      <c r="C30" s="1601"/>
      <c r="D30" s="1602"/>
      <c r="E30" s="1544"/>
      <c r="F30" s="1767"/>
      <c r="G30" s="1766"/>
      <c r="H30" s="1544"/>
      <c r="I30" s="1767"/>
      <c r="J30" s="1766"/>
      <c r="K30" s="1754"/>
      <c r="L30" s="1766"/>
      <c r="M30" s="1754"/>
      <c r="N30" s="1768"/>
      <c r="O30" s="1893"/>
      <c r="P30" s="1767"/>
      <c r="Q30" s="1766"/>
      <c r="R30" s="1736"/>
      <c r="S30" s="1830"/>
      <c r="T30" s="1831"/>
      <c r="U30" s="1832"/>
      <c r="V30" s="1572"/>
      <c r="W30" s="1552"/>
      <c r="X30" s="1552"/>
      <c r="Y30" s="1552"/>
      <c r="Z30" s="1552"/>
    </row>
    <row r="31" spans="1:26" s="1542" customFormat="1" ht="15.75" hidden="1">
      <c r="A31" s="1580"/>
      <c r="B31" s="1720" t="s">
        <v>1521</v>
      </c>
      <c r="C31" s="1603"/>
      <c r="D31" s="1604"/>
      <c r="E31" s="1544"/>
      <c r="F31" s="1770"/>
      <c r="G31" s="1769"/>
      <c r="H31" s="1544"/>
      <c r="I31" s="1770"/>
      <c r="J31" s="1769"/>
      <c r="K31" s="1754"/>
      <c r="L31" s="1769"/>
      <c r="M31" s="1754"/>
      <c r="N31" s="1771"/>
      <c r="O31" s="1893"/>
      <c r="P31" s="1770"/>
      <c r="Q31" s="1769"/>
      <c r="R31" s="1736"/>
      <c r="S31" s="1833"/>
      <c r="T31" s="1834"/>
      <c r="U31" s="1835"/>
      <c r="V31" s="1572"/>
      <c r="W31" s="1552"/>
      <c r="X31" s="1552"/>
      <c r="Y31" s="1552"/>
      <c r="Z31" s="1552"/>
    </row>
    <row r="32" spans="1:26" s="1542" customFormat="1" ht="15.75" hidden="1">
      <c r="A32" s="1580"/>
      <c r="B32" s="1721" t="s">
        <v>1522</v>
      </c>
      <c r="C32" s="1603"/>
      <c r="D32" s="1604"/>
      <c r="E32" s="1544"/>
      <c r="F32" s="1773"/>
      <c r="G32" s="1772"/>
      <c r="H32" s="1544"/>
      <c r="I32" s="1773"/>
      <c r="J32" s="1772"/>
      <c r="K32" s="1754"/>
      <c r="L32" s="1772"/>
      <c r="M32" s="1754"/>
      <c r="N32" s="1774"/>
      <c r="O32" s="1893"/>
      <c r="P32" s="1773"/>
      <c r="Q32" s="1772"/>
      <c r="R32" s="1736"/>
      <c r="S32" s="1836"/>
      <c r="T32" s="1837"/>
      <c r="U32" s="1838"/>
      <c r="V32" s="1572"/>
      <c r="W32" s="1552"/>
      <c r="X32" s="1552"/>
      <c r="Y32" s="1552"/>
      <c r="Z32" s="1552"/>
    </row>
    <row r="33" spans="1:26" s="1542" customFormat="1" ht="15.75" hidden="1">
      <c r="A33" s="1580"/>
      <c r="B33" s="1721" t="s">
        <v>1523</v>
      </c>
      <c r="C33" s="1603"/>
      <c r="D33" s="1604"/>
      <c r="E33" s="1544"/>
      <c r="F33" s="1773"/>
      <c r="G33" s="1772"/>
      <c r="H33" s="1544"/>
      <c r="I33" s="1773"/>
      <c r="J33" s="1772"/>
      <c r="K33" s="1754"/>
      <c r="L33" s="1772"/>
      <c r="M33" s="1754"/>
      <c r="N33" s="1774"/>
      <c r="O33" s="1893"/>
      <c r="P33" s="1773"/>
      <c r="Q33" s="1772"/>
      <c r="R33" s="1736"/>
      <c r="S33" s="1836"/>
      <c r="T33" s="1837"/>
      <c r="U33" s="1838"/>
      <c r="V33" s="1572"/>
      <c r="W33" s="1552"/>
      <c r="X33" s="1552"/>
      <c r="Y33" s="1552"/>
      <c r="Z33" s="1552"/>
    </row>
    <row r="34" spans="1:26" s="1542" customFormat="1" ht="15.75" hidden="1">
      <c r="A34" s="1580"/>
      <c r="B34" s="1722" t="s">
        <v>1524</v>
      </c>
      <c r="C34" s="1603"/>
      <c r="D34" s="1604"/>
      <c r="E34" s="1544"/>
      <c r="F34" s="1776"/>
      <c r="G34" s="1775"/>
      <c r="H34" s="1544"/>
      <c r="I34" s="1776"/>
      <c r="J34" s="1775"/>
      <c r="K34" s="1754"/>
      <c r="L34" s="1775"/>
      <c r="M34" s="1754"/>
      <c r="N34" s="1777"/>
      <c r="O34" s="1893"/>
      <c r="P34" s="1776"/>
      <c r="Q34" s="1775"/>
      <c r="R34" s="1736"/>
      <c r="S34" s="1839"/>
      <c r="T34" s="1840"/>
      <c r="U34" s="1841"/>
      <c r="V34" s="1572"/>
      <c r="W34" s="1552"/>
      <c r="X34" s="1552"/>
      <c r="Y34" s="1552"/>
      <c r="Z34" s="1552"/>
    </row>
    <row r="35" spans="1:26" s="1542" customFormat="1" ht="15.75">
      <c r="A35" s="1580"/>
      <c r="B35" s="1591" t="s">
        <v>1525</v>
      </c>
      <c r="C35" s="1592"/>
      <c r="D35" s="1593"/>
      <c r="E35" s="1544"/>
      <c r="F35" s="1759">
        <f>+IF($P$2=0,$P35,0)</f>
        <v>0</v>
      </c>
      <c r="G35" s="1758">
        <f>+IF($P$2=0,$Q35,0)</f>
        <v>-47265</v>
      </c>
      <c r="H35" s="1544"/>
      <c r="I35" s="1759">
        <f>+IF(OR($P$2=98,$P$2=42,$P$2=96,$P$2=97),$P35,0)</f>
        <v>0</v>
      </c>
      <c r="J35" s="1758">
        <f>+IF(OR($P$2=98,$P$2=42,$P$2=96,$P$2=97),$Q35,0)</f>
        <v>0</v>
      </c>
      <c r="K35" s="1754"/>
      <c r="L35" s="1758">
        <f>+IF($P$2=33,$Q35,0)</f>
        <v>0</v>
      </c>
      <c r="M35" s="1754"/>
      <c r="N35" s="1760">
        <f aca="true" t="shared" si="6" ref="N35:N40">+ROUND(+G35+J35+L35,0)</f>
        <v>-47265</v>
      </c>
      <c r="O35" s="1893"/>
      <c r="P35" s="1759">
        <f>+ROUND(+OTCHET!E122+OTCHET!E120,0)</f>
        <v>0</v>
      </c>
      <c r="Q35" s="1758">
        <f>+ROUND(+OTCHET!F122+OTCHET!F120,0)</f>
        <v>-47265</v>
      </c>
      <c r="R35" s="1736"/>
      <c r="S35" s="2049" t="s">
        <v>1890</v>
      </c>
      <c r="T35" s="2050"/>
      <c r="U35" s="2051"/>
      <c r="V35" s="1572"/>
      <c r="W35" s="1552"/>
      <c r="X35" s="1552"/>
      <c r="Y35" s="1552"/>
      <c r="Z35" s="1552"/>
    </row>
    <row r="36" spans="1:26" s="1542" customFormat="1" ht="15.75">
      <c r="A36" s="1580"/>
      <c r="B36" s="1723" t="s">
        <v>1526</v>
      </c>
      <c r="C36" s="1605"/>
      <c r="D36" s="1606"/>
      <c r="E36" s="1544"/>
      <c r="F36" s="1877">
        <f>+IF($P$2=0,$P36,0)</f>
        <v>0</v>
      </c>
      <c r="G36" s="1876">
        <f>+IF($P$2=0,$Q36,0)</f>
        <v>0</v>
      </c>
      <c r="H36" s="1544"/>
      <c r="I36" s="1877">
        <f>+IF(OR($P$2=98,$P$2=42,$P$2=96,$P$2=97),$P36,0)</f>
        <v>0</v>
      </c>
      <c r="J36" s="1876">
        <f>+IF(OR($P$2=98,$P$2=42,$P$2=96,$P$2=97),$Q36,0)</f>
        <v>0</v>
      </c>
      <c r="K36" s="1754"/>
      <c r="L36" s="1876">
        <f>+IF($P$2=33,$Q36,0)</f>
        <v>0</v>
      </c>
      <c r="M36" s="1754"/>
      <c r="N36" s="1778">
        <f t="shared" si="6"/>
        <v>0</v>
      </c>
      <c r="O36" s="1893"/>
      <c r="P36" s="1877">
        <f>+ROUND(OTCHET!E123,0)</f>
        <v>0</v>
      </c>
      <c r="Q36" s="1876">
        <f>+ROUND(OTCHET!F123,0)</f>
        <v>0</v>
      </c>
      <c r="R36" s="1736"/>
      <c r="S36" s="2079" t="s">
        <v>1891</v>
      </c>
      <c r="T36" s="2080"/>
      <c r="U36" s="2081"/>
      <c r="V36" s="1572"/>
      <c r="W36" s="1552"/>
      <c r="X36" s="1552"/>
      <c r="Y36" s="1552"/>
      <c r="Z36" s="1552"/>
    </row>
    <row r="37" spans="1:26" s="1542" customFormat="1" ht="15.75">
      <c r="A37" s="1580"/>
      <c r="B37" s="1724" t="s">
        <v>1527</v>
      </c>
      <c r="C37" s="1607"/>
      <c r="D37" s="1608"/>
      <c r="E37" s="1544"/>
      <c r="F37" s="1879">
        <f>+IF($P$2=0,$P37,0)</f>
        <v>0</v>
      </c>
      <c r="G37" s="1878">
        <f>+IF($P$2=0,$Q37,0)</f>
        <v>0</v>
      </c>
      <c r="H37" s="1544"/>
      <c r="I37" s="1879">
        <f>+IF(OR($P$2=98,$P$2=42,$P$2=96,$P$2=97),$P37,0)</f>
        <v>0</v>
      </c>
      <c r="J37" s="1878">
        <f>+IF(OR($P$2=98,$P$2=42,$P$2=96,$P$2=97),$Q37,0)</f>
        <v>0</v>
      </c>
      <c r="K37" s="1754"/>
      <c r="L37" s="1878">
        <f>+IF($P$2=33,$Q37,0)</f>
        <v>0</v>
      </c>
      <c r="M37" s="1754"/>
      <c r="N37" s="1779">
        <f t="shared" si="6"/>
        <v>0</v>
      </c>
      <c r="O37" s="1893"/>
      <c r="P37" s="1879">
        <f>+ROUND(OTCHET!E124,0)</f>
        <v>0</v>
      </c>
      <c r="Q37" s="1878">
        <f>+ROUND(OTCHET!F124,0)</f>
        <v>0</v>
      </c>
      <c r="R37" s="1736"/>
      <c r="S37" s="2073" t="s">
        <v>1892</v>
      </c>
      <c r="T37" s="2074"/>
      <c r="U37" s="2075"/>
      <c r="V37" s="1572"/>
      <c r="W37" s="1552"/>
      <c r="X37" s="1552"/>
      <c r="Y37" s="1552"/>
      <c r="Z37" s="1552"/>
    </row>
    <row r="38" spans="1:26" s="1542" customFormat="1" ht="15.75">
      <c r="A38" s="1580"/>
      <c r="B38" s="1725" t="s">
        <v>1528</v>
      </c>
      <c r="C38" s="1609"/>
      <c r="D38" s="1610"/>
      <c r="E38" s="1544"/>
      <c r="F38" s="1881">
        <f>+IF($P$2=0,$P38,0)</f>
        <v>0</v>
      </c>
      <c r="G38" s="1880">
        <f>+IF($P$2=0,$Q38,0)</f>
        <v>0</v>
      </c>
      <c r="H38" s="1544"/>
      <c r="I38" s="1881">
        <f>+IF(OR($P$2=98,$P$2=42,$P$2=96,$P$2=97),$P38,0)</f>
        <v>0</v>
      </c>
      <c r="J38" s="1880">
        <f>+IF(OR($P$2=98,$P$2=42,$P$2=96,$P$2=97),$Q38,0)</f>
        <v>0</v>
      </c>
      <c r="K38" s="1754"/>
      <c r="L38" s="1880">
        <f>+IF($P$2=33,$Q38,0)</f>
        <v>0</v>
      </c>
      <c r="M38" s="1754"/>
      <c r="N38" s="1780">
        <f t="shared" si="6"/>
        <v>0</v>
      </c>
      <c r="O38" s="1893"/>
      <c r="P38" s="1881">
        <f>+ROUND(OTCHET!E125,0)</f>
        <v>0</v>
      </c>
      <c r="Q38" s="1880">
        <f>+ROUND(OTCHET!F125,0)</f>
        <v>0</v>
      </c>
      <c r="R38" s="1736"/>
      <c r="S38" s="2076" t="s">
        <v>1893</v>
      </c>
      <c r="T38" s="2077"/>
      <c r="U38" s="2078"/>
      <c r="V38" s="1572"/>
      <c r="W38" s="1552"/>
      <c r="X38" s="1552"/>
      <c r="Y38" s="1552"/>
      <c r="Z38" s="1552"/>
    </row>
    <row r="39" spans="1:26" s="1542" customFormat="1" ht="6" customHeight="1">
      <c r="A39" s="1580"/>
      <c r="B39" s="1611"/>
      <c r="C39" s="1612"/>
      <c r="D39" s="1613"/>
      <c r="E39" s="1544"/>
      <c r="F39" s="1764"/>
      <c r="G39" s="1763"/>
      <c r="H39" s="1544"/>
      <c r="I39" s="1764"/>
      <c r="J39" s="1763"/>
      <c r="K39" s="1754"/>
      <c r="L39" s="1763"/>
      <c r="M39" s="1754"/>
      <c r="N39" s="1765"/>
      <c r="O39" s="1893"/>
      <c r="P39" s="1764"/>
      <c r="Q39" s="1763"/>
      <c r="R39" s="1736"/>
      <c r="S39" s="1842"/>
      <c r="T39" s="1843"/>
      <c r="U39" s="1844"/>
      <c r="V39" s="1572"/>
      <c r="W39" s="1552"/>
      <c r="X39" s="1552"/>
      <c r="Y39" s="1552"/>
      <c r="Z39" s="1552"/>
    </row>
    <row r="40" spans="1:26" s="1542" customFormat="1" ht="15.75">
      <c r="A40" s="1580"/>
      <c r="B40" s="1591" t="s">
        <v>1529</v>
      </c>
      <c r="C40" s="1592"/>
      <c r="D40" s="1593"/>
      <c r="E40" s="1544"/>
      <c r="F40" s="1759">
        <f>+IF($P$2=0,$P40,0)</f>
        <v>0</v>
      </c>
      <c r="G40" s="1758">
        <f>+IF($P$2=0,$Q40,0)</f>
        <v>1025</v>
      </c>
      <c r="H40" s="1544"/>
      <c r="I40" s="1759">
        <f>+IF(OR($P$2=98,$P$2=42,$P$2=96,$P$2=97),$P40,0)</f>
        <v>0</v>
      </c>
      <c r="J40" s="1758">
        <f>+IF(OR($P$2=98,$P$2=42,$P$2=96,$P$2=97),$Q40,0)</f>
        <v>0</v>
      </c>
      <c r="K40" s="1754"/>
      <c r="L40" s="1758">
        <f>+IF($P$2=33,$Q40,0)</f>
        <v>0</v>
      </c>
      <c r="M40" s="1754"/>
      <c r="N40" s="1760">
        <f t="shared" si="6"/>
        <v>1025</v>
      </c>
      <c r="O40" s="1893"/>
      <c r="P40" s="1759">
        <f>+ROUND(OTCHET!E118+OTCHET!E119,0)</f>
        <v>0</v>
      </c>
      <c r="Q40" s="1758">
        <f>+ROUND(OTCHET!F118+OTCHET!F119,0)</f>
        <v>1025</v>
      </c>
      <c r="R40" s="1736"/>
      <c r="S40" s="2049" t="s">
        <v>1894</v>
      </c>
      <c r="T40" s="2050"/>
      <c r="U40" s="2051"/>
      <c r="V40" s="1572"/>
      <c r="W40" s="1552"/>
      <c r="X40" s="1552"/>
      <c r="Y40" s="1552"/>
      <c r="Z40" s="1552"/>
    </row>
    <row r="41" spans="1:26" s="1542" customFormat="1" ht="15.75">
      <c r="A41" s="1580"/>
      <c r="B41" s="1717" t="s">
        <v>1530</v>
      </c>
      <c r="C41" s="1594"/>
      <c r="D41" s="1595"/>
      <c r="E41" s="1544"/>
      <c r="F41" s="1752"/>
      <c r="G41" s="1761"/>
      <c r="H41" s="1544"/>
      <c r="I41" s="1752"/>
      <c r="J41" s="1761"/>
      <c r="K41" s="1754"/>
      <c r="L41" s="1761"/>
      <c r="M41" s="1754"/>
      <c r="N41" s="1762"/>
      <c r="O41" s="1893"/>
      <c r="P41" s="1752"/>
      <c r="Q41" s="1761"/>
      <c r="R41" s="1736"/>
      <c r="S41" s="1717" t="s">
        <v>1530</v>
      </c>
      <c r="T41" s="1594"/>
      <c r="U41" s="1595"/>
      <c r="V41" s="1572"/>
      <c r="W41" s="1552"/>
      <c r="X41" s="1552"/>
      <c r="Y41" s="1552"/>
      <c r="Z41" s="1552"/>
    </row>
    <row r="42" spans="1:26" s="1542" customFormat="1" ht="15.75">
      <c r="A42" s="1580"/>
      <c r="B42" s="1718" t="s">
        <v>1531</v>
      </c>
      <c r="C42" s="1596"/>
      <c r="D42" s="1597"/>
      <c r="E42" s="1544"/>
      <c r="F42" s="1753">
        <f>+IF($P$2=0,$P42,0)</f>
        <v>0</v>
      </c>
      <c r="G42" s="1781">
        <f>+IF($P$2=0,$Q42,0)</f>
        <v>0</v>
      </c>
      <c r="H42" s="1544"/>
      <c r="I42" s="1753">
        <f>+IF(OR($P$2=98,$P$2=42,$P$2=96,$P$2=97),$P42,0)</f>
        <v>0</v>
      </c>
      <c r="J42" s="1781">
        <f>+IF(OR($P$2=98,$P$2=42,$P$2=96,$P$2=97),$Q42,0)</f>
        <v>0</v>
      </c>
      <c r="K42" s="1754"/>
      <c r="L42" s="1781">
        <f>+IF($P$2=33,$Q42,0)</f>
        <v>0</v>
      </c>
      <c r="M42" s="1754"/>
      <c r="N42" s="1755">
        <f>+ROUND(+G42+J42+L42,0)</f>
        <v>0</v>
      </c>
      <c r="O42" s="1893"/>
      <c r="P42" s="1753">
        <f>+ROUND(OTCHET!E144+OTCHET!E145+OTCHET!E162+OTCHET!E163,0)</f>
        <v>0</v>
      </c>
      <c r="Q42" s="1781">
        <f>+ROUND(OTCHET!F144+OTCHET!F145+OTCHET!F162+OTCHET!F163,0)</f>
        <v>0</v>
      </c>
      <c r="R42" s="1736"/>
      <c r="S42" s="2037" t="s">
        <v>1895</v>
      </c>
      <c r="T42" s="2038"/>
      <c r="U42" s="2039"/>
      <c r="V42" s="1572"/>
      <c r="W42" s="1552"/>
      <c r="X42" s="1552"/>
      <c r="Y42" s="1552"/>
      <c r="Z42" s="1552"/>
    </row>
    <row r="43" spans="1:26" s="1542" customFormat="1" ht="15.75">
      <c r="A43" s="1580"/>
      <c r="B43" s="1713" t="s">
        <v>1532</v>
      </c>
      <c r="C43" s="1587"/>
      <c r="D43" s="1588"/>
      <c r="E43" s="1544"/>
      <c r="F43" s="1875">
        <f>+IF($P$2=0,$P43,0)</f>
        <v>0</v>
      </c>
      <c r="G43" s="1874">
        <f>+IF($P$2=0,$Q43,0)</f>
        <v>0</v>
      </c>
      <c r="H43" s="1544"/>
      <c r="I43" s="1875">
        <f>+IF(OR($P$2=98,$P$2=42,$P$2=96,$P$2=97),$P43,0)</f>
        <v>0</v>
      </c>
      <c r="J43" s="1874">
        <f>+IF(OR($P$2=98,$P$2=42,$P$2=96,$P$2=97),$Q43,0)</f>
        <v>0</v>
      </c>
      <c r="K43" s="1754"/>
      <c r="L43" s="1874">
        <f>+IF($P$2=33,$Q43,0)</f>
        <v>0</v>
      </c>
      <c r="M43" s="1754"/>
      <c r="N43" s="1756">
        <f>+ROUND(+G43+J43+L43,0)</f>
        <v>0</v>
      </c>
      <c r="O43" s="1893"/>
      <c r="P43" s="1875">
        <f>+ROUND(+SUM(OTCHET!E146:E151)+SUM(OTCHET!E164:E169),0)</f>
        <v>0</v>
      </c>
      <c r="Q43" s="1874">
        <f>+ROUND(+SUM(OTCHET!F146:F151)+SUM(OTCHET!F164:F169),0)</f>
        <v>0</v>
      </c>
      <c r="R43" s="1736"/>
      <c r="S43" s="2028" t="s">
        <v>1896</v>
      </c>
      <c r="T43" s="2029"/>
      <c r="U43" s="2030"/>
      <c r="V43" s="1572"/>
      <c r="W43" s="1552"/>
      <c r="X43" s="1552"/>
      <c r="Y43" s="1552"/>
      <c r="Z43" s="1552"/>
    </row>
    <row r="44" spans="1:26" s="1542" customFormat="1" ht="15.75">
      <c r="A44" s="1580"/>
      <c r="B44" s="1713" t="s">
        <v>2134</v>
      </c>
      <c r="C44" s="1587"/>
      <c r="D44" s="1588"/>
      <c r="E44" s="1544"/>
      <c r="F44" s="1875">
        <f>+IF($P$2=0,$P44,0)</f>
        <v>0</v>
      </c>
      <c r="G44" s="1874">
        <f>+IF($P$2=0,$Q44,0)</f>
        <v>0</v>
      </c>
      <c r="H44" s="1544"/>
      <c r="I44" s="1875">
        <f>+IF(OR($P$2=98,$P$2=42,$P$2=96,$P$2=97),$P44,0)</f>
        <v>0</v>
      </c>
      <c r="J44" s="1874">
        <f>+IF(OR($P$2=98,$P$2=42,$P$2=96,$P$2=97),$Q44,0)</f>
        <v>0</v>
      </c>
      <c r="K44" s="1754"/>
      <c r="L44" s="1874">
        <f>+IF($P$2=33,$Q44,0)</f>
        <v>0</v>
      </c>
      <c r="M44" s="1754"/>
      <c r="N44" s="1756">
        <f>+ROUND(+G44+J44+L44,0)</f>
        <v>0</v>
      </c>
      <c r="O44" s="1893"/>
      <c r="P44" s="1875">
        <f>+ROUND(OTCHET!E152,0)</f>
        <v>0</v>
      </c>
      <c r="Q44" s="1874">
        <f>+ROUND(OTCHET!F152,0)</f>
        <v>0</v>
      </c>
      <c r="R44" s="1736"/>
      <c r="S44" s="2028" t="s">
        <v>1897</v>
      </c>
      <c r="T44" s="2029"/>
      <c r="U44" s="2030"/>
      <c r="V44" s="1572"/>
      <c r="W44" s="1552"/>
      <c r="X44" s="1552"/>
      <c r="Y44" s="1552"/>
      <c r="Z44" s="1552"/>
    </row>
    <row r="45" spans="1:26" s="1542" customFormat="1" ht="15.75">
      <c r="A45" s="1580"/>
      <c r="B45" s="1716" t="s">
        <v>1533</v>
      </c>
      <c r="C45" s="1589"/>
      <c r="D45" s="1590"/>
      <c r="E45" s="1544"/>
      <c r="F45" s="1787">
        <f>+IF($P$2=0,$P45,0)</f>
        <v>0</v>
      </c>
      <c r="G45" s="1786">
        <f>+IF($P$2=0,$Q45,0)</f>
        <v>0</v>
      </c>
      <c r="H45" s="1544"/>
      <c r="I45" s="1787">
        <f>+IF(OR($P$2=98,$P$2=42,$P$2=96,$P$2=97),$P45,0)</f>
        <v>0</v>
      </c>
      <c r="J45" s="1786">
        <f>+IF(OR($P$2=98,$P$2=42,$P$2=96,$P$2=97),$Q45,0)</f>
        <v>0</v>
      </c>
      <c r="K45" s="1754"/>
      <c r="L45" s="1786">
        <f>+IF($P$2=33,$Q45,0)</f>
        <v>0</v>
      </c>
      <c r="M45" s="1754"/>
      <c r="N45" s="1757">
        <f>+ROUND(+G45+J45+L45,0)</f>
        <v>0</v>
      </c>
      <c r="O45" s="1893"/>
      <c r="P45" s="1787">
        <f>+ROUND(OTCHET!E140,0)</f>
        <v>0</v>
      </c>
      <c r="Q45" s="1786">
        <f>+ROUND(OTCHET!F140,0)</f>
        <v>0</v>
      </c>
      <c r="R45" s="1736"/>
      <c r="S45" s="2067" t="s">
        <v>1898</v>
      </c>
      <c r="T45" s="2068"/>
      <c r="U45" s="2069"/>
      <c r="V45" s="1572"/>
      <c r="W45" s="1552"/>
      <c r="X45" s="1552"/>
      <c r="Y45" s="1552"/>
      <c r="Z45" s="1552"/>
    </row>
    <row r="46" spans="1:26" s="1542" customFormat="1" ht="15.75">
      <c r="A46" s="1580"/>
      <c r="B46" s="1591" t="s">
        <v>1534</v>
      </c>
      <c r="C46" s="1592"/>
      <c r="D46" s="1593"/>
      <c r="E46" s="1544"/>
      <c r="F46" s="1759">
        <f>+ROUND(+SUM(F42:F45),0)</f>
        <v>0</v>
      </c>
      <c r="G46" s="1758">
        <f>+ROUND(+SUM(G42:G45),0)</f>
        <v>0</v>
      </c>
      <c r="H46" s="1544"/>
      <c r="I46" s="1759">
        <f>+ROUND(+SUM(I42:I45),0)</f>
        <v>0</v>
      </c>
      <c r="J46" s="1758">
        <f>+ROUND(+SUM(J42:J45),0)</f>
        <v>0</v>
      </c>
      <c r="K46" s="1754"/>
      <c r="L46" s="1758">
        <f>+ROUND(+SUM(L42:L45),0)</f>
        <v>0</v>
      </c>
      <c r="M46" s="1754"/>
      <c r="N46" s="1760">
        <f>+ROUND(+SUM(N42:N45),0)</f>
        <v>0</v>
      </c>
      <c r="O46" s="1893"/>
      <c r="P46" s="1759">
        <f>+ROUND(+SUM(P42:P45),0)</f>
        <v>0</v>
      </c>
      <c r="Q46" s="1758">
        <f>+ROUND(+SUM(Q42:Q45),0)</f>
        <v>0</v>
      </c>
      <c r="R46" s="1736"/>
      <c r="S46" s="2049" t="s">
        <v>1899</v>
      </c>
      <c r="T46" s="2050"/>
      <c r="U46" s="2051"/>
      <c r="V46" s="1572"/>
      <c r="W46" s="1552"/>
      <c r="X46" s="1552"/>
      <c r="Y46" s="1552"/>
      <c r="Z46" s="1552"/>
    </row>
    <row r="47" spans="1:26" s="1542" customFormat="1" ht="6" customHeight="1">
      <c r="A47" s="1580"/>
      <c r="B47" s="1614"/>
      <c r="C47" s="1599"/>
      <c r="D47" s="1600"/>
      <c r="E47" s="1544"/>
      <c r="F47" s="1753"/>
      <c r="G47" s="1781"/>
      <c r="H47" s="1544"/>
      <c r="I47" s="1753"/>
      <c r="J47" s="1781"/>
      <c r="K47" s="1754"/>
      <c r="L47" s="1781"/>
      <c r="M47" s="1754"/>
      <c r="N47" s="1755"/>
      <c r="O47" s="1893"/>
      <c r="P47" s="1753"/>
      <c r="Q47" s="1781"/>
      <c r="R47" s="1736"/>
      <c r="S47" s="1845"/>
      <c r="T47" s="1846"/>
      <c r="U47" s="1847"/>
      <c r="V47" s="1572"/>
      <c r="W47" s="1552"/>
      <c r="X47" s="1552"/>
      <c r="Y47" s="1552"/>
      <c r="Z47" s="1552"/>
    </row>
    <row r="48" spans="1:26" s="1542" customFormat="1" ht="16.5" thickBot="1">
      <c r="A48" s="1580"/>
      <c r="B48" s="1726" t="s">
        <v>1535</v>
      </c>
      <c r="C48" s="1615"/>
      <c r="D48" s="1616"/>
      <c r="E48" s="1544"/>
      <c r="F48" s="1783">
        <f>+ROUND(F23+F28+F35+F40+F46,0)</f>
        <v>63200000</v>
      </c>
      <c r="G48" s="1782">
        <f>+ROUND(G23+G28+G35+G40+G46,0)</f>
        <v>43990366</v>
      </c>
      <c r="H48" s="1544"/>
      <c r="I48" s="1783">
        <f>+ROUND(I23+I28+I35+I40+I46,0)</f>
        <v>0</v>
      </c>
      <c r="J48" s="1782">
        <f>+ROUND(J23+J28+J35+J40+J46,0)</f>
        <v>0</v>
      </c>
      <c r="K48" s="1754"/>
      <c r="L48" s="1782">
        <f>+ROUND(L23+L28+L35+L40+L46,0)</f>
        <v>0</v>
      </c>
      <c r="M48" s="1754"/>
      <c r="N48" s="1784">
        <f>+ROUND(N23+N28+N35+N40+N46,0)</f>
        <v>43990366</v>
      </c>
      <c r="O48" s="1895"/>
      <c r="P48" s="1783">
        <f>+ROUND(P23+P28+P35+P40+P46,0)</f>
        <v>63200000</v>
      </c>
      <c r="Q48" s="1782">
        <f>+ROUND(Q23+Q28+Q35+Q40+Q46,0)</f>
        <v>43990366</v>
      </c>
      <c r="R48" s="1736"/>
      <c r="S48" s="2064" t="s">
        <v>1900</v>
      </c>
      <c r="T48" s="2065"/>
      <c r="U48" s="2066"/>
      <c r="V48" s="1572"/>
      <c r="W48" s="1552"/>
      <c r="X48" s="1552"/>
      <c r="Y48" s="1552"/>
      <c r="Z48" s="1552"/>
    </row>
    <row r="49" spans="1:26" s="1542" customFormat="1" ht="15.75">
      <c r="A49" s="1580"/>
      <c r="B49" s="1714" t="s">
        <v>1784</v>
      </c>
      <c r="C49" s="1581"/>
      <c r="D49" s="1582"/>
      <c r="E49" s="1544"/>
      <c r="F49" s="1764"/>
      <c r="G49" s="1763"/>
      <c r="H49" s="1544"/>
      <c r="I49" s="1764"/>
      <c r="J49" s="1763"/>
      <c r="K49" s="1754"/>
      <c r="L49" s="1763"/>
      <c r="M49" s="1754"/>
      <c r="N49" s="1765"/>
      <c r="O49" s="1893"/>
      <c r="P49" s="1764"/>
      <c r="Q49" s="1763"/>
      <c r="R49" s="1736"/>
      <c r="S49" s="1714" t="s">
        <v>1784</v>
      </c>
      <c r="T49" s="1581"/>
      <c r="U49" s="1582"/>
      <c r="V49" s="1572"/>
      <c r="W49" s="1552"/>
      <c r="X49" s="1552"/>
      <c r="Y49" s="1552"/>
      <c r="Z49" s="1552"/>
    </row>
    <row r="50" spans="1:26" s="1542" customFormat="1" ht="15.75">
      <c r="A50" s="1580"/>
      <c r="B50" s="1717" t="s">
        <v>1785</v>
      </c>
      <c r="C50" s="1594"/>
      <c r="D50" s="1595"/>
      <c r="E50" s="1617"/>
      <c r="F50" s="1764"/>
      <c r="G50" s="1763"/>
      <c r="H50" s="1544"/>
      <c r="I50" s="1764"/>
      <c r="J50" s="1763"/>
      <c r="K50" s="1754"/>
      <c r="L50" s="1763"/>
      <c r="M50" s="1754"/>
      <c r="N50" s="1765"/>
      <c r="O50" s="1893"/>
      <c r="P50" s="1764"/>
      <c r="Q50" s="1763"/>
      <c r="R50" s="1736"/>
      <c r="S50" s="1717" t="s">
        <v>1785</v>
      </c>
      <c r="T50" s="1594"/>
      <c r="U50" s="1595"/>
      <c r="V50" s="1572"/>
      <c r="W50" s="1552"/>
      <c r="X50" s="1552"/>
      <c r="Y50" s="1552"/>
      <c r="Z50" s="1552"/>
    </row>
    <row r="51" spans="1:26" s="1542" customFormat="1" ht="15.75">
      <c r="A51" s="1580"/>
      <c r="B51" s="1718" t="s">
        <v>1786</v>
      </c>
      <c r="C51" s="1596"/>
      <c r="D51" s="1597"/>
      <c r="E51" s="1617"/>
      <c r="F51" s="1764">
        <f>+IF($P$2=0,$P51,0)</f>
        <v>2064200</v>
      </c>
      <c r="G51" s="1763">
        <f>+IF($P$2=0,$Q51,0)</f>
        <v>239377</v>
      </c>
      <c r="H51" s="1544"/>
      <c r="I51" s="1764">
        <f>+IF(OR($P$2=98,$P$2=42,$P$2=96,$P$2=97),$P51,0)</f>
        <v>0</v>
      </c>
      <c r="J51" s="1763">
        <f>+IF(OR($P$2=98,$P$2=42,$P$2=96,$P$2=97),$Q51,0)</f>
        <v>0</v>
      </c>
      <c r="K51" s="1754"/>
      <c r="L51" s="1763">
        <f>+IF($P$2=33,$Q51,0)</f>
        <v>0</v>
      </c>
      <c r="M51" s="1754"/>
      <c r="N51" s="1765">
        <f>+ROUND(+G51+J51+L51,0)</f>
        <v>239377</v>
      </c>
      <c r="O51" s="1893"/>
      <c r="P51" s="1764">
        <f>+ROUND(OTCHET!E206-SUM(OTCHET!E218:E220)+OTCHET!E273+IF(+OR(OTCHET!$F$12="5500",OTCHET!$F$12="5600"),0,+OTCHET!E299),0)</f>
        <v>2064200</v>
      </c>
      <c r="Q51" s="1763">
        <f>+ROUND(OTCHET!F206-SUM(OTCHET!F218:F220)+OTCHET!F273+IF(+OR(OTCHET!$F$12="5500",OTCHET!$F$12="5600"),0,+OTCHET!F299),0)</f>
        <v>239377</v>
      </c>
      <c r="R51" s="1736"/>
      <c r="S51" s="2037" t="s">
        <v>1901</v>
      </c>
      <c r="T51" s="2038"/>
      <c r="U51" s="2039"/>
      <c r="V51" s="1572"/>
      <c r="W51" s="1552"/>
      <c r="X51" s="1552"/>
      <c r="Y51" s="1552"/>
      <c r="Z51" s="1552"/>
    </row>
    <row r="52" spans="1:26" s="1542" customFormat="1" ht="15.75">
      <c r="A52" s="1580"/>
      <c r="B52" s="1713" t="s">
        <v>1787</v>
      </c>
      <c r="C52" s="1587"/>
      <c r="D52" s="1588"/>
      <c r="E52" s="1544"/>
      <c r="F52" s="1787">
        <f>+IF($P$2=0,$P52,0)</f>
        <v>42000</v>
      </c>
      <c r="G52" s="1786">
        <f>+IF($P$2=0,$Q52,0)</f>
        <v>248</v>
      </c>
      <c r="H52" s="1544"/>
      <c r="I52" s="1787">
        <f>+IF(OR($P$2=98,$P$2=42,$P$2=96,$P$2=97),$P52,0)</f>
        <v>0</v>
      </c>
      <c r="J52" s="1786">
        <f>+IF(OR($P$2=98,$P$2=42,$P$2=96,$P$2=97),$Q52,0)</f>
        <v>0</v>
      </c>
      <c r="K52" s="1754"/>
      <c r="L52" s="1786">
        <f>+IF($P$2=33,$Q52,0)</f>
        <v>0</v>
      </c>
      <c r="M52" s="1754"/>
      <c r="N52" s="1757">
        <f>+ROUND(+G52+J52+L52,0)</f>
        <v>248</v>
      </c>
      <c r="O52" s="1893"/>
      <c r="P52" s="1787">
        <f>+ROUND(+SUM(OTCHET!E218:E220),0)</f>
        <v>42000</v>
      </c>
      <c r="Q52" s="1786">
        <f>+ROUND(+SUM(OTCHET!F218:F220),0)</f>
        <v>248</v>
      </c>
      <c r="R52" s="1736"/>
      <c r="S52" s="2028" t="s">
        <v>1902</v>
      </c>
      <c r="T52" s="2029"/>
      <c r="U52" s="2030"/>
      <c r="V52" s="1572"/>
      <c r="W52" s="1552"/>
      <c r="X52" s="1552"/>
      <c r="Y52" s="1552"/>
      <c r="Z52" s="1552"/>
    </row>
    <row r="53" spans="1:26" s="1542" customFormat="1" ht="15.75">
      <c r="A53" s="1580"/>
      <c r="B53" s="1713" t="s">
        <v>1788</v>
      </c>
      <c r="C53" s="1587"/>
      <c r="D53" s="1588"/>
      <c r="E53" s="1544"/>
      <c r="F53" s="1787">
        <f>+IF($P$2=0,$P53,0)</f>
        <v>50000</v>
      </c>
      <c r="G53" s="1786">
        <f>+IF($P$2=0,$Q53,0)</f>
        <v>39739</v>
      </c>
      <c r="H53" s="1544"/>
      <c r="I53" s="1787">
        <f>+IF(OR($P$2=98,$P$2=42,$P$2=96,$P$2=97),$P53,0)</f>
        <v>0</v>
      </c>
      <c r="J53" s="1786">
        <f>+IF(OR($P$2=98,$P$2=42,$P$2=96,$P$2=97),$Q53,0)</f>
        <v>0</v>
      </c>
      <c r="K53" s="1754"/>
      <c r="L53" s="1786">
        <f>+IF($P$2=33,$Q53,0)</f>
        <v>0</v>
      </c>
      <c r="M53" s="1754"/>
      <c r="N53" s="1757">
        <f>+ROUND(+G53+J53+L53,0)</f>
        <v>39739</v>
      </c>
      <c r="O53" s="1893"/>
      <c r="P53" s="1787">
        <f>+ROUND(OTCHET!E224,0)</f>
        <v>50000</v>
      </c>
      <c r="Q53" s="1786">
        <f>+ROUND(OTCHET!F224,0)</f>
        <v>39739</v>
      </c>
      <c r="R53" s="1736"/>
      <c r="S53" s="2028" t="s">
        <v>1903</v>
      </c>
      <c r="T53" s="2029"/>
      <c r="U53" s="2030"/>
      <c r="V53" s="1572"/>
      <c r="W53" s="1552"/>
      <c r="X53" s="1552"/>
      <c r="Y53" s="1552"/>
      <c r="Z53" s="1552"/>
    </row>
    <row r="54" spans="1:26" s="1542" customFormat="1" ht="15.75">
      <c r="A54" s="1580"/>
      <c r="B54" s="1713" t="s">
        <v>1789</v>
      </c>
      <c r="C54" s="1587"/>
      <c r="D54" s="1588"/>
      <c r="E54" s="1544"/>
      <c r="F54" s="1787">
        <f>+IF($P$2=0,$P54,0)</f>
        <v>4837000</v>
      </c>
      <c r="G54" s="1786">
        <f>+IF($P$2=0,$Q54,0)</f>
        <v>1076846</v>
      </c>
      <c r="H54" s="1544"/>
      <c r="I54" s="1787">
        <f>+IF(OR($P$2=98,$P$2=42,$P$2=96,$P$2=97),$P54,0)</f>
        <v>0</v>
      </c>
      <c r="J54" s="1786">
        <f>+IF(OR($P$2=98,$P$2=42,$P$2=96,$P$2=97),$Q54,0)</f>
        <v>0</v>
      </c>
      <c r="K54" s="1754"/>
      <c r="L54" s="1786">
        <f>+IF($P$2=33,$Q54,0)</f>
        <v>0</v>
      </c>
      <c r="M54" s="1754"/>
      <c r="N54" s="1757">
        <f>+ROUND(+G54+J54+L54,0)</f>
        <v>1076846</v>
      </c>
      <c r="O54" s="1893"/>
      <c r="P54" s="1787">
        <f>+ROUND(OTCHET!E188+OTCHET!E191,0)</f>
        <v>4837000</v>
      </c>
      <c r="Q54" s="1786">
        <f>+ROUND(OTCHET!F188+OTCHET!F191,0)</f>
        <v>1076846</v>
      </c>
      <c r="R54" s="1736"/>
      <c r="S54" s="2028" t="s">
        <v>1904</v>
      </c>
      <c r="T54" s="2029"/>
      <c r="U54" s="2030"/>
      <c r="V54" s="1572"/>
      <c r="W54" s="1552"/>
      <c r="X54" s="1552"/>
      <c r="Y54" s="1552"/>
      <c r="Z54" s="1552"/>
    </row>
    <row r="55" spans="1:26" s="1542" customFormat="1" ht="15.75">
      <c r="A55" s="1580"/>
      <c r="B55" s="1716" t="s">
        <v>1790</v>
      </c>
      <c r="C55" s="1589"/>
      <c r="D55" s="1590"/>
      <c r="E55" s="1544"/>
      <c r="F55" s="1787">
        <f>+IF($P$2=0,$P55,0)</f>
        <v>1193000</v>
      </c>
      <c r="G55" s="1786">
        <f>+IF($P$2=0,$Q55,0)</f>
        <v>281928</v>
      </c>
      <c r="H55" s="1544"/>
      <c r="I55" s="1787">
        <f>+IF(OR($P$2=98,$P$2=42,$P$2=96,$P$2=97),$P55,0)</f>
        <v>0</v>
      </c>
      <c r="J55" s="1786">
        <f>+IF(OR($P$2=98,$P$2=42,$P$2=96,$P$2=97),$Q55,0)</f>
        <v>0</v>
      </c>
      <c r="K55" s="1754"/>
      <c r="L55" s="1786">
        <f>+IF($P$2=33,$Q55,0)</f>
        <v>0</v>
      </c>
      <c r="M55" s="1754"/>
      <c r="N55" s="1757">
        <f>+ROUND(+G55+J55+L55,0)</f>
        <v>281928</v>
      </c>
      <c r="O55" s="1893"/>
      <c r="P55" s="1787">
        <f>+ROUND(OTCHET!E197+OTCHET!E205,0)</f>
        <v>1193000</v>
      </c>
      <c r="Q55" s="1786">
        <f>+ROUND(OTCHET!F197+OTCHET!F205,0)</f>
        <v>281928</v>
      </c>
      <c r="R55" s="1736"/>
      <c r="S55" s="2067" t="s">
        <v>1905</v>
      </c>
      <c r="T55" s="2068"/>
      <c r="U55" s="2069"/>
      <c r="V55" s="1572"/>
      <c r="W55" s="1552"/>
      <c r="X55" s="1552"/>
      <c r="Y55" s="1552"/>
      <c r="Z55" s="1552"/>
    </row>
    <row r="56" spans="1:26" s="1542" customFormat="1" ht="15.75">
      <c r="A56" s="1580"/>
      <c r="B56" s="1618" t="s">
        <v>1791</v>
      </c>
      <c r="C56" s="1619"/>
      <c r="D56" s="1620"/>
      <c r="E56" s="1544"/>
      <c r="F56" s="1759">
        <f>+ROUND(+SUM(F51:F55),0)</f>
        <v>8186200</v>
      </c>
      <c r="G56" s="1758">
        <f>+ROUND(+SUM(G51:G55),0)</f>
        <v>1638138</v>
      </c>
      <c r="H56" s="1544"/>
      <c r="I56" s="1759">
        <f>+ROUND(+SUM(I51:I55),0)</f>
        <v>0</v>
      </c>
      <c r="J56" s="1758">
        <f>+ROUND(+SUM(J51:J55),0)</f>
        <v>0</v>
      </c>
      <c r="K56" s="1754"/>
      <c r="L56" s="1758">
        <f>+ROUND(+SUM(L51:L55),0)</f>
        <v>0</v>
      </c>
      <c r="M56" s="1754"/>
      <c r="N56" s="1760">
        <f>+ROUND(+SUM(N51:N55),0)</f>
        <v>1638138</v>
      </c>
      <c r="O56" s="1893"/>
      <c r="P56" s="1759">
        <f>+ROUND(+SUM(P51:P55),0)</f>
        <v>8186200</v>
      </c>
      <c r="Q56" s="1758">
        <f>+ROUND(+SUM(Q51:Q55),0)</f>
        <v>1638138</v>
      </c>
      <c r="R56" s="1736"/>
      <c r="S56" s="2049" t="s">
        <v>1906</v>
      </c>
      <c r="T56" s="2050"/>
      <c r="U56" s="2051"/>
      <c r="V56" s="1572"/>
      <c r="W56" s="1552"/>
      <c r="X56" s="1552"/>
      <c r="Y56" s="1552"/>
      <c r="Z56" s="1552"/>
    </row>
    <row r="57" spans="1:26" s="1542" customFormat="1" ht="15.75">
      <c r="A57" s="1580"/>
      <c r="B57" s="1717" t="s">
        <v>1792</v>
      </c>
      <c r="C57" s="1594"/>
      <c r="D57" s="1595"/>
      <c r="E57" s="1617"/>
      <c r="F57" s="1764"/>
      <c r="G57" s="1763"/>
      <c r="H57" s="1544"/>
      <c r="I57" s="1764"/>
      <c r="J57" s="1763"/>
      <c r="K57" s="1754"/>
      <c r="L57" s="1763"/>
      <c r="M57" s="1754"/>
      <c r="N57" s="1765"/>
      <c r="O57" s="1893"/>
      <c r="P57" s="1764"/>
      <c r="Q57" s="1763"/>
      <c r="R57" s="1736"/>
      <c r="S57" s="1717" t="s">
        <v>1792</v>
      </c>
      <c r="T57" s="1594"/>
      <c r="U57" s="1595"/>
      <c r="V57" s="1572"/>
      <c r="W57" s="1552"/>
      <c r="X57" s="1552"/>
      <c r="Y57" s="1552"/>
      <c r="Z57" s="1552"/>
    </row>
    <row r="58" spans="1:26" s="1542" customFormat="1" ht="15.75">
      <c r="A58" s="1580"/>
      <c r="B58" s="1718" t="s">
        <v>1793</v>
      </c>
      <c r="C58" s="1596"/>
      <c r="D58" s="1597"/>
      <c r="E58" s="1617"/>
      <c r="F58" s="1764">
        <f>+IF($P$2=0,$P58,0)</f>
        <v>0</v>
      </c>
      <c r="G58" s="1763">
        <f>+IF($P$2=0,$Q58,0)</f>
        <v>0</v>
      </c>
      <c r="H58" s="1544"/>
      <c r="I58" s="1764">
        <f>+IF(OR($P$2=98,$P$2=42,$P$2=96,$P$2=97),$P58,0)</f>
        <v>0</v>
      </c>
      <c r="J58" s="1763">
        <f>+IF(OR($P$2=98,$P$2=42,$P$2=96,$P$2=97),$Q58,0)</f>
        <v>0</v>
      </c>
      <c r="K58" s="1754"/>
      <c r="L58" s="1763">
        <f>+IF($P$2=33,$Q58,0)</f>
        <v>0</v>
      </c>
      <c r="M58" s="1754"/>
      <c r="N58" s="1765">
        <f>+ROUND(+G58+J58+L58,0)</f>
        <v>0</v>
      </c>
      <c r="O58" s="1893"/>
      <c r="P58" s="1764">
        <f>+ROUND(OTCHET!E289,0)</f>
        <v>0</v>
      </c>
      <c r="Q58" s="1763">
        <f>+ROUND(OTCHET!F289,0)</f>
        <v>0</v>
      </c>
      <c r="R58" s="1736"/>
      <c r="S58" s="2037" t="s">
        <v>1907</v>
      </c>
      <c r="T58" s="2038"/>
      <c r="U58" s="2039"/>
      <c r="V58" s="1572"/>
      <c r="W58" s="1552"/>
      <c r="X58" s="1552"/>
      <c r="Y58" s="1552"/>
      <c r="Z58" s="1552"/>
    </row>
    <row r="59" spans="1:26" s="1542" customFormat="1" ht="15.75">
      <c r="A59" s="1580"/>
      <c r="B59" s="1713" t="s">
        <v>1794</v>
      </c>
      <c r="C59" s="1587"/>
      <c r="D59" s="1588"/>
      <c r="E59" s="1544"/>
      <c r="F59" s="1787">
        <f>+IF($P$2=0,$P59,0)</f>
        <v>579000</v>
      </c>
      <c r="G59" s="1786">
        <f>+IF($P$2=0,$Q59,0)</f>
        <v>-16244</v>
      </c>
      <c r="H59" s="1544"/>
      <c r="I59" s="1787">
        <f>+IF(OR($P$2=98,$P$2=42,$P$2=96,$P$2=97),$P59,0)</f>
        <v>0</v>
      </c>
      <c r="J59" s="1786">
        <f>+IF(OR($P$2=98,$P$2=42,$P$2=96,$P$2=97),$Q59,0)</f>
        <v>0</v>
      </c>
      <c r="K59" s="1754"/>
      <c r="L59" s="1786">
        <f>+IF($P$2=33,$Q59,0)</f>
        <v>0</v>
      </c>
      <c r="M59" s="1754"/>
      <c r="N59" s="1757">
        <f>+ROUND(+G59+J59+L59,0)</f>
        <v>-16244</v>
      </c>
      <c r="O59" s="1893"/>
      <c r="P59" s="1787">
        <f>+ROUND(+OTCHET!E277+OTCHET!E278,0)</f>
        <v>579000</v>
      </c>
      <c r="Q59" s="1786">
        <f>+ROUND(+OTCHET!F277+OTCHET!F278,0)</f>
        <v>-16244</v>
      </c>
      <c r="R59" s="1736"/>
      <c r="S59" s="2028" t="s">
        <v>1908</v>
      </c>
      <c r="T59" s="2029"/>
      <c r="U59" s="2030"/>
      <c r="V59" s="1572"/>
      <c r="W59" s="1552"/>
      <c r="X59" s="1552"/>
      <c r="Y59" s="1552"/>
      <c r="Z59" s="1552"/>
    </row>
    <row r="60" spans="1:26" s="1542" customFormat="1" ht="15.75">
      <c r="A60" s="1580"/>
      <c r="B60" s="1713" t="s">
        <v>1795</v>
      </c>
      <c r="C60" s="1587"/>
      <c r="D60" s="1588"/>
      <c r="E60" s="1544"/>
      <c r="F60" s="1787">
        <f>+IF($P$2=0,$P60,0)</f>
        <v>904000</v>
      </c>
      <c r="G60" s="1786">
        <f>+IF($P$2=0,$Q60,0)</f>
        <v>0</v>
      </c>
      <c r="H60" s="1544"/>
      <c r="I60" s="1787">
        <f>+IF(OR($P$2=98,$P$2=42,$P$2=96,$P$2=97),$P60,0)</f>
        <v>0</v>
      </c>
      <c r="J60" s="1786">
        <f>+IF(OR($P$2=98,$P$2=42,$P$2=96,$P$2=97),$Q60,0)</f>
        <v>0</v>
      </c>
      <c r="K60" s="1754"/>
      <c r="L60" s="1786">
        <f>+IF($P$2=33,$Q60,0)</f>
        <v>0</v>
      </c>
      <c r="M60" s="1754"/>
      <c r="N60" s="1757">
        <f>+ROUND(+G60+J60+L60,0)</f>
        <v>0</v>
      </c>
      <c r="O60" s="1893"/>
      <c r="P60" s="1787">
        <f>+ROUND(OTCHET!E286,0)</f>
        <v>904000</v>
      </c>
      <c r="Q60" s="1786">
        <f>+ROUND(OTCHET!F286,0)</f>
        <v>0</v>
      </c>
      <c r="R60" s="1736"/>
      <c r="S60" s="2028" t="s">
        <v>1909</v>
      </c>
      <c r="T60" s="2029"/>
      <c r="U60" s="2030"/>
      <c r="V60" s="1572"/>
      <c r="W60" s="1552"/>
      <c r="X60" s="1552"/>
      <c r="Y60" s="1552"/>
      <c r="Z60" s="1552"/>
    </row>
    <row r="61" spans="1:26" s="1542" customFormat="1" ht="15.75">
      <c r="A61" s="1580"/>
      <c r="B61" s="1716" t="s">
        <v>1796</v>
      </c>
      <c r="C61" s="1589"/>
      <c r="D61" s="1590"/>
      <c r="E61" s="1544"/>
      <c r="F61" s="1883">
        <f>+IF($P$2=0,$P61,0)</f>
        <v>0</v>
      </c>
      <c r="G61" s="1882">
        <f>+IF($P$2=0,$Q61,0)</f>
        <v>0</v>
      </c>
      <c r="H61" s="1544"/>
      <c r="I61" s="1883">
        <f>+IF(OR($P$2=98,$P$2=42,$P$2=96,$P$2=97),$P61,0)</f>
        <v>0</v>
      </c>
      <c r="J61" s="1882">
        <f>+IF(OR($P$2=98,$P$2=42,$P$2=96,$P$2=97),$Q61,0)</f>
        <v>0</v>
      </c>
      <c r="K61" s="1754"/>
      <c r="L61" s="1882">
        <f>+IF($P$2=33,$Q61,0)</f>
        <v>0</v>
      </c>
      <c r="M61" s="1754"/>
      <c r="N61" s="1785">
        <f>+ROUND(+G61+J61+L61,0)</f>
        <v>0</v>
      </c>
      <c r="O61" s="1893"/>
      <c r="P61" s="1883">
        <f>+ROUND(OTCHET!E295,0)</f>
        <v>0</v>
      </c>
      <c r="Q61" s="1882">
        <f>+ROUND(OTCHET!F295,0)</f>
        <v>0</v>
      </c>
      <c r="R61" s="1736"/>
      <c r="S61" s="2067" t="s">
        <v>1910</v>
      </c>
      <c r="T61" s="2068"/>
      <c r="U61" s="2069"/>
      <c r="V61" s="1572"/>
      <c r="W61" s="1552"/>
      <c r="X61" s="1552"/>
      <c r="Y61" s="1552"/>
      <c r="Z61" s="1552"/>
    </row>
    <row r="62" spans="1:26" s="1542" customFormat="1" ht="15.75">
      <c r="A62" s="1580"/>
      <c r="B62" s="1727" t="s">
        <v>1797</v>
      </c>
      <c r="C62" s="1621"/>
      <c r="D62" s="1622"/>
      <c r="E62" s="1544"/>
      <c r="F62" s="1885">
        <f>+IF($P$2=0,$P62,0)</f>
        <v>0</v>
      </c>
      <c r="G62" s="1884">
        <f>+IF($P$2=0,$Q62,0)</f>
        <v>0</v>
      </c>
      <c r="H62" s="1544"/>
      <c r="I62" s="1885">
        <f>+IF(OR($P$2=98,$P$2=42,$P$2=96,$P$2=97),$P62,0)</f>
        <v>0</v>
      </c>
      <c r="J62" s="1884">
        <f>+IF(OR($P$2=98,$P$2=42,$P$2=96,$P$2=97),$Q62,0)</f>
        <v>0</v>
      </c>
      <c r="K62" s="1754"/>
      <c r="L62" s="1884">
        <f>+IF($P$2=33,$Q62,0)</f>
        <v>0</v>
      </c>
      <c r="M62" s="1754"/>
      <c r="N62" s="1886">
        <f>+ROUND(+G62+J62+L62,0)</f>
        <v>0</v>
      </c>
      <c r="O62" s="1893"/>
      <c r="P62" s="1885">
        <f>+ROUND(OTCHET!E298,0)</f>
        <v>0</v>
      </c>
      <c r="Q62" s="1884">
        <f>+ROUND(OTCHET!F298,0)</f>
        <v>0</v>
      </c>
      <c r="R62" s="1736"/>
      <c r="S62" s="1848" t="s">
        <v>1911</v>
      </c>
      <c r="T62" s="1849"/>
      <c r="U62" s="1850"/>
      <c r="V62" s="1572"/>
      <c r="W62" s="1552"/>
      <c r="X62" s="1552"/>
      <c r="Y62" s="1552"/>
      <c r="Z62" s="1552"/>
    </row>
    <row r="63" spans="1:26" s="1542" customFormat="1" ht="15.75">
      <c r="A63" s="1580"/>
      <c r="B63" s="1618" t="s">
        <v>1798</v>
      </c>
      <c r="C63" s="1619"/>
      <c r="D63" s="1620"/>
      <c r="E63" s="1544"/>
      <c r="F63" s="1759">
        <f>+ROUND(+SUM(F58:F61),0)</f>
        <v>1483000</v>
      </c>
      <c r="G63" s="1758">
        <f>+ROUND(+SUM(G58:G61),0)</f>
        <v>-16244</v>
      </c>
      <c r="H63" s="1544"/>
      <c r="I63" s="1759">
        <f>+ROUND(+SUM(I58:I61),0)</f>
        <v>0</v>
      </c>
      <c r="J63" s="1758">
        <f>+ROUND(+SUM(J58:J61),0)</f>
        <v>0</v>
      </c>
      <c r="K63" s="1754"/>
      <c r="L63" s="1758">
        <f>+ROUND(+SUM(L58:L61),0)</f>
        <v>0</v>
      </c>
      <c r="M63" s="1754"/>
      <c r="N63" s="1760">
        <f>+ROUND(+SUM(N58:N61),0)</f>
        <v>-16244</v>
      </c>
      <c r="O63" s="1893"/>
      <c r="P63" s="1759">
        <f>+ROUND(+SUM(P58:P61),0)</f>
        <v>1483000</v>
      </c>
      <c r="Q63" s="1758">
        <f>+ROUND(+SUM(Q58:Q61),0)</f>
        <v>-16244</v>
      </c>
      <c r="R63" s="1736"/>
      <c r="S63" s="2049" t="s">
        <v>1912</v>
      </c>
      <c r="T63" s="2050"/>
      <c r="U63" s="2051"/>
      <c r="V63" s="1572"/>
      <c r="W63" s="1552"/>
      <c r="X63" s="1552"/>
      <c r="Y63" s="1552"/>
      <c r="Z63" s="1552"/>
    </row>
    <row r="64" spans="1:26" s="1542" customFormat="1" ht="15.75">
      <c r="A64" s="1580"/>
      <c r="B64" s="1717" t="s">
        <v>1799</v>
      </c>
      <c r="C64" s="1594"/>
      <c r="D64" s="1595"/>
      <c r="E64" s="1617"/>
      <c r="F64" s="1787"/>
      <c r="G64" s="1786"/>
      <c r="H64" s="1544"/>
      <c r="I64" s="1787"/>
      <c r="J64" s="1786"/>
      <c r="K64" s="1754"/>
      <c r="L64" s="1786"/>
      <c r="M64" s="1754"/>
      <c r="N64" s="1757"/>
      <c r="O64" s="1893"/>
      <c r="P64" s="1787"/>
      <c r="Q64" s="1786"/>
      <c r="R64" s="1736"/>
      <c r="S64" s="1717" t="s">
        <v>1799</v>
      </c>
      <c r="T64" s="1594"/>
      <c r="U64" s="1595"/>
      <c r="V64" s="1572"/>
      <c r="W64" s="1552"/>
      <c r="X64" s="1552"/>
      <c r="Y64" s="1552"/>
      <c r="Z64" s="1552"/>
    </row>
    <row r="65" spans="1:26" s="1542" customFormat="1" ht="15.75">
      <c r="A65" s="1580"/>
      <c r="B65" s="1718" t="s">
        <v>1871</v>
      </c>
      <c r="C65" s="1596"/>
      <c r="D65" s="1597"/>
      <c r="E65" s="1617"/>
      <c r="F65" s="1764">
        <f>+IF($P$2=0,$P65,0)</f>
        <v>0</v>
      </c>
      <c r="G65" s="1763">
        <f>+IF($P$2=0,$Q65,0)</f>
        <v>0</v>
      </c>
      <c r="H65" s="1544"/>
      <c r="I65" s="1764">
        <f>+IF(OR($P$2=98,$P$2=42,$P$2=96,$P$2=97),$P65,0)</f>
        <v>0</v>
      </c>
      <c r="J65" s="1763">
        <f>+IF(OR($P$2=98,$P$2=42,$P$2=96,$P$2=97),$Q65,0)</f>
        <v>0</v>
      </c>
      <c r="K65" s="1754"/>
      <c r="L65" s="1763">
        <f>+IF($P$2=33,$Q65,0)</f>
        <v>0</v>
      </c>
      <c r="M65" s="1754"/>
      <c r="N65" s="1765">
        <f>+ROUND(+G65+J65+L65,0)</f>
        <v>0</v>
      </c>
      <c r="O65" s="1893"/>
      <c r="P65" s="1764">
        <f>+ROUND(OTCHET!E228+OTCHET!E234+SUM(OTCHET!E237:E240),0)</f>
        <v>0</v>
      </c>
      <c r="Q65" s="1763">
        <f>+ROUND(OTCHET!F228+OTCHET!F234+SUM(OTCHET!F237:F240),0)</f>
        <v>0</v>
      </c>
      <c r="R65" s="1736"/>
      <c r="S65" s="2037" t="s">
        <v>1913</v>
      </c>
      <c r="T65" s="2038"/>
      <c r="U65" s="2039"/>
      <c r="V65" s="1572"/>
      <c r="W65" s="1552"/>
      <c r="X65" s="1552"/>
      <c r="Y65" s="1552"/>
      <c r="Z65" s="1552"/>
    </row>
    <row r="66" spans="1:26" s="1542" customFormat="1" ht="15.75">
      <c r="A66" s="1580"/>
      <c r="B66" s="1716" t="s">
        <v>1872</v>
      </c>
      <c r="C66" s="1589"/>
      <c r="D66" s="1590"/>
      <c r="E66" s="1544"/>
      <c r="F66" s="1787">
        <f>+IF($P$2=0,$P66,0)</f>
        <v>0</v>
      </c>
      <c r="G66" s="1786">
        <f>+IF($P$2=0,$Q66,0)</f>
        <v>0</v>
      </c>
      <c r="H66" s="1544"/>
      <c r="I66" s="1787">
        <f>+IF(OR($P$2=98,$P$2=42,$P$2=96,$P$2=97),$P66,0)</f>
        <v>0</v>
      </c>
      <c r="J66" s="1786">
        <f>+IF(OR($P$2=98,$P$2=42,$P$2=96,$P$2=97),$Q66,0)</f>
        <v>0</v>
      </c>
      <c r="K66" s="1754"/>
      <c r="L66" s="1786">
        <f>+IF($P$2=33,$Q66,0)</f>
        <v>0</v>
      </c>
      <c r="M66" s="1754"/>
      <c r="N66" s="1757">
        <f>+ROUND(+G66+J66+L66,0)</f>
        <v>0</v>
      </c>
      <c r="O66" s="1893"/>
      <c r="P66" s="1787">
        <f>+ROUND(OTCHET!E241,0)</f>
        <v>0</v>
      </c>
      <c r="Q66" s="1786">
        <f>+ROUND(OTCHET!F241,0)</f>
        <v>0</v>
      </c>
      <c r="R66" s="1736"/>
      <c r="S66" s="2028" t="s">
        <v>1914</v>
      </c>
      <c r="T66" s="2029"/>
      <c r="U66" s="2030"/>
      <c r="V66" s="1572"/>
      <c r="W66" s="1552"/>
      <c r="X66" s="1552"/>
      <c r="Y66" s="1552"/>
      <c r="Z66" s="1552"/>
    </row>
    <row r="67" spans="1:26" s="1542" customFormat="1" ht="15.75">
      <c r="A67" s="1580"/>
      <c r="B67" s="1618" t="s">
        <v>1800</v>
      </c>
      <c r="C67" s="1619"/>
      <c r="D67" s="1620"/>
      <c r="E67" s="1544"/>
      <c r="F67" s="1759">
        <f>+ROUND(+SUM(F65:F66),0)</f>
        <v>0</v>
      </c>
      <c r="G67" s="1758">
        <f>+ROUND(+SUM(G65:G66),0)</f>
        <v>0</v>
      </c>
      <c r="H67" s="1544"/>
      <c r="I67" s="1759">
        <f>+ROUND(+SUM(I65:I66),0)</f>
        <v>0</v>
      </c>
      <c r="J67" s="1758">
        <f>+ROUND(+SUM(J65:J66),0)</f>
        <v>0</v>
      </c>
      <c r="K67" s="1754"/>
      <c r="L67" s="1758">
        <f>+ROUND(+SUM(L65:L66),0)</f>
        <v>0</v>
      </c>
      <c r="M67" s="1754"/>
      <c r="N67" s="1760">
        <f>+ROUND(+SUM(N65:N66),0)</f>
        <v>0</v>
      </c>
      <c r="O67" s="1893"/>
      <c r="P67" s="1759">
        <f>+ROUND(+SUM(P65:P66),0)</f>
        <v>0</v>
      </c>
      <c r="Q67" s="1758">
        <f>+ROUND(+SUM(Q65:Q66),0)</f>
        <v>0</v>
      </c>
      <c r="R67" s="1736"/>
      <c r="S67" s="2049" t="s">
        <v>1915</v>
      </c>
      <c r="T67" s="2050"/>
      <c r="U67" s="2051"/>
      <c r="V67" s="1572"/>
      <c r="W67" s="1552"/>
      <c r="X67" s="1552"/>
      <c r="Y67" s="1552"/>
      <c r="Z67" s="1552"/>
    </row>
    <row r="68" spans="1:26" s="1542" customFormat="1" ht="15.75">
      <c r="A68" s="1580"/>
      <c r="B68" s="1717" t="s">
        <v>1801</v>
      </c>
      <c r="C68" s="1594"/>
      <c r="D68" s="1595"/>
      <c r="E68" s="1617"/>
      <c r="F68" s="1787"/>
      <c r="G68" s="1786"/>
      <c r="H68" s="1544"/>
      <c r="I68" s="1787"/>
      <c r="J68" s="1786"/>
      <c r="K68" s="1754"/>
      <c r="L68" s="1786"/>
      <c r="M68" s="1754"/>
      <c r="N68" s="1757"/>
      <c r="O68" s="1893"/>
      <c r="P68" s="1787"/>
      <c r="Q68" s="1786"/>
      <c r="R68" s="1736"/>
      <c r="S68" s="1717" t="s">
        <v>1801</v>
      </c>
      <c r="T68" s="1594"/>
      <c r="U68" s="1595"/>
      <c r="V68" s="1572"/>
      <c r="W68" s="1552"/>
      <c r="X68" s="1552"/>
      <c r="Y68" s="1552"/>
      <c r="Z68" s="1552"/>
    </row>
    <row r="69" spans="1:26" s="1542" customFormat="1" ht="15.75">
      <c r="A69" s="1580"/>
      <c r="B69" s="1718" t="s">
        <v>1802</v>
      </c>
      <c r="C69" s="1596"/>
      <c r="D69" s="1597"/>
      <c r="E69" s="1617"/>
      <c r="F69" s="1764">
        <f>+IF($P$2=0,$P69,0)</f>
        <v>0</v>
      </c>
      <c r="G69" s="1763">
        <f>+IF($P$2=0,$Q69,0)</f>
        <v>0</v>
      </c>
      <c r="H69" s="1544"/>
      <c r="I69" s="1764">
        <f>+IF(OR($P$2=98,$P$2=42,$P$2=96,$P$2=97),$P69,0)</f>
        <v>0</v>
      </c>
      <c r="J69" s="1763">
        <f>+IF(OR($P$2=98,$P$2=42,$P$2=96,$P$2=97),$Q69,0)</f>
        <v>0</v>
      </c>
      <c r="K69" s="1754"/>
      <c r="L69" s="1763">
        <f>+IF($P$2=33,$Q69,0)</f>
        <v>0</v>
      </c>
      <c r="M69" s="1754"/>
      <c r="N69" s="1765">
        <f>+ROUND(+G69+J69+L69,0)</f>
        <v>0</v>
      </c>
      <c r="O69" s="1893"/>
      <c r="P69" s="1764">
        <f>+ROUND(+SUM(OTCHET!E257:E260)+IF(+OR(OTCHET!$F$12="5500",OTCHET!$F$12="5600"),+OTCHET!E299,0),0)</f>
        <v>0</v>
      </c>
      <c r="Q69" s="1763">
        <f>+ROUND(+SUM(OTCHET!F257:F260)+IF(+OR(OTCHET!$F$12="5500",OTCHET!$F$12="5600"),+OTCHET!F299,0),0)</f>
        <v>0</v>
      </c>
      <c r="R69" s="1736"/>
      <c r="S69" s="2037" t="s">
        <v>1916</v>
      </c>
      <c r="T69" s="2038"/>
      <c r="U69" s="2039"/>
      <c r="V69" s="1572"/>
      <c r="W69" s="1552"/>
      <c r="X69" s="1552"/>
      <c r="Y69" s="1552"/>
      <c r="Z69" s="1552"/>
    </row>
    <row r="70" spans="1:26" s="1542" customFormat="1" ht="15.75">
      <c r="A70" s="1580"/>
      <c r="B70" s="1716" t="s">
        <v>1803</v>
      </c>
      <c r="C70" s="1589"/>
      <c r="D70" s="1590"/>
      <c r="E70" s="1544"/>
      <c r="F70" s="1787">
        <f>+IF($P$2=0,$P70,0)</f>
        <v>0</v>
      </c>
      <c r="G70" s="1786">
        <f>+IF($P$2=0,$Q70,0)</f>
        <v>0</v>
      </c>
      <c r="H70" s="1544"/>
      <c r="I70" s="1787">
        <f>+IF(OR($P$2=98,$P$2=42,$P$2=96,$P$2=97),$P70,0)</f>
        <v>0</v>
      </c>
      <c r="J70" s="1786">
        <f>+IF(OR($P$2=98,$P$2=42,$P$2=96,$P$2=97),$Q70,0)</f>
        <v>0</v>
      </c>
      <c r="K70" s="1754"/>
      <c r="L70" s="1786">
        <f>+IF($P$2=33,$Q70,0)</f>
        <v>0</v>
      </c>
      <c r="M70" s="1754"/>
      <c r="N70" s="1757">
        <f>+ROUND(+G70+J70+L70,0)</f>
        <v>0</v>
      </c>
      <c r="O70" s="1893"/>
      <c r="P70" s="1787">
        <f>+ROUND(+OTCHET!E294,0)</f>
        <v>0</v>
      </c>
      <c r="Q70" s="1786">
        <f>+ROUND(+OTCHET!F294,0)</f>
        <v>0</v>
      </c>
      <c r="R70" s="1736"/>
      <c r="S70" s="2028" t="s">
        <v>1917</v>
      </c>
      <c r="T70" s="2029"/>
      <c r="U70" s="2030"/>
      <c r="V70" s="1572"/>
      <c r="W70" s="1552"/>
      <c r="X70" s="1552"/>
      <c r="Y70" s="1552"/>
      <c r="Z70" s="1552"/>
    </row>
    <row r="71" spans="1:26" s="1542" customFormat="1" ht="15.75">
      <c r="A71" s="1580"/>
      <c r="B71" s="1618" t="s">
        <v>1804</v>
      </c>
      <c r="C71" s="1619"/>
      <c r="D71" s="1620"/>
      <c r="E71" s="1544"/>
      <c r="F71" s="1759">
        <f>+ROUND(+SUM(F69:F70),0)</f>
        <v>0</v>
      </c>
      <c r="G71" s="1758">
        <f>+ROUND(+SUM(G69:G70),0)</f>
        <v>0</v>
      </c>
      <c r="H71" s="1544"/>
      <c r="I71" s="1759">
        <f>+ROUND(+SUM(I69:I70),0)</f>
        <v>0</v>
      </c>
      <c r="J71" s="1758">
        <f>+ROUND(+SUM(J69:J70),0)</f>
        <v>0</v>
      </c>
      <c r="K71" s="1754"/>
      <c r="L71" s="1758">
        <f>+ROUND(+SUM(L69:L70),0)</f>
        <v>0</v>
      </c>
      <c r="M71" s="1754"/>
      <c r="N71" s="1760">
        <f>+ROUND(+SUM(N69:N70),0)</f>
        <v>0</v>
      </c>
      <c r="O71" s="1893"/>
      <c r="P71" s="1759">
        <f>+ROUND(+SUM(P69:P70),0)</f>
        <v>0</v>
      </c>
      <c r="Q71" s="1758">
        <f>+ROUND(+SUM(Q69:Q70),0)</f>
        <v>0</v>
      </c>
      <c r="R71" s="1736"/>
      <c r="S71" s="2049" t="s">
        <v>1918</v>
      </c>
      <c r="T71" s="2050"/>
      <c r="U71" s="2051"/>
      <c r="V71" s="1572"/>
      <c r="W71" s="1552"/>
      <c r="X71" s="1552"/>
      <c r="Y71" s="1552"/>
      <c r="Z71" s="1552"/>
    </row>
    <row r="72" spans="1:26" s="1542" customFormat="1" ht="15.75">
      <c r="A72" s="1580"/>
      <c r="B72" s="1717" t="s">
        <v>1805</v>
      </c>
      <c r="C72" s="1594"/>
      <c r="D72" s="1595"/>
      <c r="E72" s="1617"/>
      <c r="F72" s="1787"/>
      <c r="G72" s="1786"/>
      <c r="H72" s="1544"/>
      <c r="I72" s="1787"/>
      <c r="J72" s="1786"/>
      <c r="K72" s="1754"/>
      <c r="L72" s="1786"/>
      <c r="M72" s="1754"/>
      <c r="N72" s="1757"/>
      <c r="O72" s="1893"/>
      <c r="P72" s="1787"/>
      <c r="Q72" s="1786"/>
      <c r="R72" s="1736"/>
      <c r="S72" s="1717" t="s">
        <v>1805</v>
      </c>
      <c r="T72" s="1594"/>
      <c r="U72" s="1595"/>
      <c r="V72" s="1572"/>
      <c r="W72" s="1552"/>
      <c r="X72" s="1552"/>
      <c r="Y72" s="1552"/>
      <c r="Z72" s="1552"/>
    </row>
    <row r="73" spans="1:26" s="1542" customFormat="1" ht="15.75">
      <c r="A73" s="1580"/>
      <c r="B73" s="1718" t="s">
        <v>1806</v>
      </c>
      <c r="C73" s="1596"/>
      <c r="D73" s="1597"/>
      <c r="E73" s="1617"/>
      <c r="F73" s="1764">
        <f>+IF($P$2=0,$P73,0)</f>
        <v>0</v>
      </c>
      <c r="G73" s="1763">
        <f>+IF($P$2=0,$Q73,0)</f>
        <v>0</v>
      </c>
      <c r="H73" s="1544"/>
      <c r="I73" s="1764">
        <f>+IF(OR($P$2=98,$P$2=42,$P$2=96,$P$2=97),$P73,0)</f>
        <v>0</v>
      </c>
      <c r="J73" s="1763">
        <f>+IF(OR($P$2=98,$P$2=42,$P$2=96,$P$2=97),$Q73,0)</f>
        <v>0</v>
      </c>
      <c r="K73" s="1754"/>
      <c r="L73" s="1763">
        <f>+IF($P$2=33,$Q73,0)</f>
        <v>0</v>
      </c>
      <c r="M73" s="1754"/>
      <c r="N73" s="1765">
        <f>+ROUND(+G73+J73+L73,0)</f>
        <v>0</v>
      </c>
      <c r="O73" s="1893"/>
      <c r="P73" s="1764">
        <f>+ROUND(+OTCHET!E250+OTCHET!E267+OTCHET!E271+OTCHET!E272+OTCHET!E275,0)</f>
        <v>0</v>
      </c>
      <c r="Q73" s="1763">
        <f>+ROUND(+OTCHET!F250+OTCHET!F267+OTCHET!F271+OTCHET!F272+OTCHET!F275,0)</f>
        <v>0</v>
      </c>
      <c r="R73" s="1736"/>
      <c r="S73" s="2037" t="s">
        <v>1919</v>
      </c>
      <c r="T73" s="2038"/>
      <c r="U73" s="2039"/>
      <c r="V73" s="1572"/>
      <c r="W73" s="1552"/>
      <c r="X73" s="1552"/>
      <c r="Y73" s="1552"/>
      <c r="Z73" s="1552"/>
    </row>
    <row r="74" spans="1:26" s="1542" customFormat="1" ht="15.75">
      <c r="A74" s="1580"/>
      <c r="B74" s="1716" t="s">
        <v>1807</v>
      </c>
      <c r="C74" s="1589"/>
      <c r="D74" s="1590"/>
      <c r="E74" s="1544"/>
      <c r="F74" s="1787">
        <f>+IF($P$2=0,$P74,0)</f>
        <v>0</v>
      </c>
      <c r="G74" s="1786">
        <f>+IF($P$2=0,$Q74,0)</f>
        <v>0</v>
      </c>
      <c r="H74" s="1544"/>
      <c r="I74" s="1787">
        <f>+IF(OR($P$2=98,$P$2=42,$P$2=96,$P$2=97),$P74,0)</f>
        <v>0</v>
      </c>
      <c r="J74" s="1786">
        <f>+IF(OR($P$2=98,$P$2=42,$P$2=96,$P$2=97),$Q74,0)</f>
        <v>0</v>
      </c>
      <c r="K74" s="1754"/>
      <c r="L74" s="1786">
        <f>+IF($P$2=33,$Q74,0)</f>
        <v>0</v>
      </c>
      <c r="M74" s="1754"/>
      <c r="N74" s="1757">
        <f>+ROUND(+G74+J74+L74,0)</f>
        <v>0</v>
      </c>
      <c r="O74" s="1893"/>
      <c r="P74" s="1787">
        <f>+ROUND(OTCHET!E276+OTCHET!E290-OTCHET!E294,0)</f>
        <v>0</v>
      </c>
      <c r="Q74" s="1786">
        <f>+ROUND(OTCHET!F276+OTCHET!F290-OTCHET!F294,0)</f>
        <v>0</v>
      </c>
      <c r="R74" s="1736"/>
      <c r="S74" s="2028" t="s">
        <v>1920</v>
      </c>
      <c r="T74" s="2029"/>
      <c r="U74" s="2030"/>
      <c r="V74" s="1572"/>
      <c r="W74" s="1552"/>
      <c r="X74" s="1552"/>
      <c r="Y74" s="1552"/>
      <c r="Z74" s="1552"/>
    </row>
    <row r="75" spans="1:26" s="1542" customFormat="1" ht="15.75">
      <c r="A75" s="1580"/>
      <c r="B75" s="1618" t="s">
        <v>1808</v>
      </c>
      <c r="C75" s="1619"/>
      <c r="D75" s="1620"/>
      <c r="E75" s="1544"/>
      <c r="F75" s="1759">
        <f>+ROUND(+SUM(F73:F74),0)</f>
        <v>0</v>
      </c>
      <c r="G75" s="1758">
        <f>+ROUND(+SUM(G73:G74),0)</f>
        <v>0</v>
      </c>
      <c r="H75" s="1544"/>
      <c r="I75" s="1759">
        <f>+ROUND(+SUM(I73:I74),0)</f>
        <v>0</v>
      </c>
      <c r="J75" s="1758">
        <f>+ROUND(+SUM(J73:J74),0)</f>
        <v>0</v>
      </c>
      <c r="K75" s="1754"/>
      <c r="L75" s="1758">
        <f>+ROUND(+SUM(L73:L74),0)</f>
        <v>0</v>
      </c>
      <c r="M75" s="1754"/>
      <c r="N75" s="1760">
        <f>+ROUND(+SUM(N73:N74),0)</f>
        <v>0</v>
      </c>
      <c r="O75" s="1893"/>
      <c r="P75" s="1759">
        <f>+ROUND(+SUM(P73:P74),0)</f>
        <v>0</v>
      </c>
      <c r="Q75" s="1758">
        <f>+ROUND(+SUM(Q73:Q74),0)</f>
        <v>0</v>
      </c>
      <c r="R75" s="1736"/>
      <c r="S75" s="2049" t="s">
        <v>1921</v>
      </c>
      <c r="T75" s="2050"/>
      <c r="U75" s="2051"/>
      <c r="V75" s="1572"/>
      <c r="W75" s="1552"/>
      <c r="X75" s="1552"/>
      <c r="Y75" s="1552"/>
      <c r="Z75" s="1552"/>
    </row>
    <row r="76" spans="1:26" s="1542" customFormat="1" ht="6.75" customHeight="1">
      <c r="A76" s="1580"/>
      <c r="B76" s="1623"/>
      <c r="C76" s="1624"/>
      <c r="D76" s="1625"/>
      <c r="E76" s="1544"/>
      <c r="F76" s="1787"/>
      <c r="G76" s="1786"/>
      <c r="H76" s="1544"/>
      <c r="I76" s="1787"/>
      <c r="J76" s="1786"/>
      <c r="K76" s="1754"/>
      <c r="L76" s="1786"/>
      <c r="M76" s="1754"/>
      <c r="N76" s="1757"/>
      <c r="O76" s="1893"/>
      <c r="P76" s="1787"/>
      <c r="Q76" s="1786"/>
      <c r="R76" s="1736"/>
      <c r="S76" s="1851"/>
      <c r="T76" s="1852"/>
      <c r="U76" s="1853"/>
      <c r="V76" s="1572"/>
      <c r="W76" s="1552"/>
      <c r="X76" s="1552"/>
      <c r="Y76" s="1552"/>
      <c r="Z76" s="1552"/>
    </row>
    <row r="77" spans="1:26" s="1542" customFormat="1" ht="16.5" thickBot="1">
      <c r="A77" s="1580"/>
      <c r="B77" s="1728" t="s">
        <v>1809</v>
      </c>
      <c r="C77" s="1626"/>
      <c r="D77" s="1627"/>
      <c r="E77" s="1544"/>
      <c r="F77" s="1783">
        <f>+ROUND(F56+F63+F67+F71+F75,0)</f>
        <v>9669200</v>
      </c>
      <c r="G77" s="1782">
        <f>+ROUND(G56+G63+G67+G71+G75,0)</f>
        <v>1621894</v>
      </c>
      <c r="H77" s="1544"/>
      <c r="I77" s="1783">
        <f>+ROUND(I56+I63+I67+I71+I75,0)</f>
        <v>0</v>
      </c>
      <c r="J77" s="1782">
        <f>+ROUND(J56+J63+J67+J71+J75,0)</f>
        <v>0</v>
      </c>
      <c r="K77" s="1754"/>
      <c r="L77" s="1782">
        <f>+ROUND(L56+L63+L67+L71+L75,0)</f>
        <v>0</v>
      </c>
      <c r="M77" s="1754"/>
      <c r="N77" s="1784">
        <f>+ROUND(N56+N63+N67+N71+N75,0)</f>
        <v>1621894</v>
      </c>
      <c r="O77" s="1893"/>
      <c r="P77" s="1783">
        <f>+ROUND(P56+P63+P67+P71+P75,0)</f>
        <v>9669200</v>
      </c>
      <c r="Q77" s="1782">
        <f>+ROUND(Q56+Q63+Q67+Q71+Q75,0)</f>
        <v>1621894</v>
      </c>
      <c r="R77" s="1736"/>
      <c r="S77" s="2052" t="s">
        <v>1922</v>
      </c>
      <c r="T77" s="2053"/>
      <c r="U77" s="2054"/>
      <c r="V77" s="1628"/>
      <c r="W77" s="1629"/>
      <c r="X77" s="1630"/>
      <c r="Y77" s="1629"/>
      <c r="Z77" s="1629"/>
    </row>
    <row r="78" spans="1:26" s="1542" customFormat="1" ht="15.75">
      <c r="A78" s="1580"/>
      <c r="B78" s="1714" t="s">
        <v>1810</v>
      </c>
      <c r="C78" s="1581"/>
      <c r="D78" s="1582"/>
      <c r="E78" s="1544"/>
      <c r="F78" s="1764"/>
      <c r="G78" s="1763"/>
      <c r="H78" s="1544"/>
      <c r="I78" s="1764"/>
      <c r="J78" s="1763"/>
      <c r="K78" s="1754"/>
      <c r="L78" s="1763"/>
      <c r="M78" s="1754"/>
      <c r="N78" s="1765"/>
      <c r="O78" s="1893"/>
      <c r="P78" s="1764"/>
      <c r="Q78" s="1763"/>
      <c r="R78" s="1736"/>
      <c r="S78" s="1714" t="s">
        <v>1810</v>
      </c>
      <c r="T78" s="1581"/>
      <c r="U78" s="1582"/>
      <c r="V78" s="1572"/>
      <c r="W78" s="1552"/>
      <c r="X78" s="1552"/>
      <c r="Y78" s="1552"/>
      <c r="Z78" s="1552"/>
    </row>
    <row r="79" spans="1:26" s="1542" customFormat="1" ht="15.75">
      <c r="A79" s="1580"/>
      <c r="B79" s="1718" t="s">
        <v>1811</v>
      </c>
      <c r="C79" s="1596"/>
      <c r="D79" s="1597"/>
      <c r="E79" s="1544"/>
      <c r="F79" s="1753">
        <f>+IF($P$2=0,$P79,0)</f>
        <v>-16100000</v>
      </c>
      <c r="G79" s="1781">
        <f>+IF($P$2=0,$Q79,0)</f>
        <v>-42350977</v>
      </c>
      <c r="H79" s="1544"/>
      <c r="I79" s="1753">
        <f>+IF(OR($P$2=98,$P$2=42,$P$2=96,$P$2=97),$P79,0)</f>
        <v>0</v>
      </c>
      <c r="J79" s="1781">
        <f>+IF(OR($P$2=98,$P$2=42,$P$2=96,$P$2=97),$Q79,0)</f>
        <v>0</v>
      </c>
      <c r="K79" s="1754"/>
      <c r="L79" s="1781">
        <f>+IF($P$2=33,$Q79,0)</f>
        <v>0</v>
      </c>
      <c r="M79" s="1754"/>
      <c r="N79" s="1755">
        <f>+ROUND(+G79+J79+L79,0)</f>
        <v>-42350977</v>
      </c>
      <c r="O79" s="1893"/>
      <c r="P79" s="1753">
        <f>+ROUND(OTCHET!E421,0)</f>
        <v>-16100000</v>
      </c>
      <c r="Q79" s="1781">
        <f>+ROUND(OTCHET!F421,0)</f>
        <v>-42350977</v>
      </c>
      <c r="R79" s="1736"/>
      <c r="S79" s="2037" t="s">
        <v>1923</v>
      </c>
      <c r="T79" s="2038"/>
      <c r="U79" s="2039"/>
      <c r="V79" s="1572"/>
      <c r="W79" s="1552"/>
      <c r="X79" s="1552"/>
      <c r="Y79" s="1552"/>
      <c r="Z79" s="1552"/>
    </row>
    <row r="80" spans="1:26" s="1542" customFormat="1" ht="15.75">
      <c r="A80" s="1580"/>
      <c r="B80" s="1716" t="s">
        <v>1812</v>
      </c>
      <c r="C80" s="1589"/>
      <c r="D80" s="1590"/>
      <c r="E80" s="1544"/>
      <c r="F80" s="1787">
        <f>+IF($P$2=0,$P80,0)</f>
        <v>0</v>
      </c>
      <c r="G80" s="1786">
        <f>+IF($P$2=0,$Q80,0)</f>
        <v>0</v>
      </c>
      <c r="H80" s="1544"/>
      <c r="I80" s="1787">
        <f>+IF(OR($P$2=98,$P$2=42,$P$2=96,$P$2=97),$P80,0)</f>
        <v>0</v>
      </c>
      <c r="J80" s="1786">
        <f>+IF(OR($P$2=98,$P$2=42,$P$2=96,$P$2=97),$Q80,0)</f>
        <v>0</v>
      </c>
      <c r="K80" s="1754"/>
      <c r="L80" s="1786">
        <f>+IF($P$2=33,$Q80,0)</f>
        <v>0</v>
      </c>
      <c r="M80" s="1754"/>
      <c r="N80" s="1757">
        <f>+ROUND(+G80+J80+L80,0)</f>
        <v>0</v>
      </c>
      <c r="O80" s="1893"/>
      <c r="P80" s="1787">
        <f>+ROUND(OTCHET!E431,0)</f>
        <v>0</v>
      </c>
      <c r="Q80" s="1786">
        <f>+ROUND(OTCHET!F431,0)</f>
        <v>0</v>
      </c>
      <c r="R80" s="1736"/>
      <c r="S80" s="2028" t="s">
        <v>1924</v>
      </c>
      <c r="T80" s="2029"/>
      <c r="U80" s="2030"/>
      <c r="V80" s="1572"/>
      <c r="W80" s="1552"/>
      <c r="X80" s="1552"/>
      <c r="Y80" s="1552"/>
      <c r="Z80" s="1552"/>
    </row>
    <row r="81" spans="1:26" s="1542" customFormat="1" ht="16.5" thickBot="1">
      <c r="A81" s="1580"/>
      <c r="B81" s="1729" t="s">
        <v>1813</v>
      </c>
      <c r="C81" s="1631"/>
      <c r="D81" s="1632"/>
      <c r="E81" s="1544"/>
      <c r="F81" s="1789">
        <f>+ROUND(F79+F80,0)</f>
        <v>-16100000</v>
      </c>
      <c r="G81" s="1788">
        <f>+ROUND(G79+G80,0)</f>
        <v>-42350977</v>
      </c>
      <c r="H81" s="1544"/>
      <c r="I81" s="1789">
        <f>+ROUND(I79+I80,0)</f>
        <v>0</v>
      </c>
      <c r="J81" s="1788">
        <f>+ROUND(J79+J80,0)</f>
        <v>0</v>
      </c>
      <c r="K81" s="1754"/>
      <c r="L81" s="1788">
        <f>+ROUND(L79+L80,0)</f>
        <v>0</v>
      </c>
      <c r="M81" s="1754"/>
      <c r="N81" s="1790">
        <f>+ROUND(N79+N80,0)</f>
        <v>-42350977</v>
      </c>
      <c r="O81" s="1893"/>
      <c r="P81" s="1789">
        <f>+ROUND(P79+P80,0)</f>
        <v>-16100000</v>
      </c>
      <c r="Q81" s="1788">
        <f>+ROUND(Q79+Q80,0)</f>
        <v>-42350977</v>
      </c>
      <c r="R81" s="1736"/>
      <c r="S81" s="2034" t="s">
        <v>1925</v>
      </c>
      <c r="T81" s="2035"/>
      <c r="U81" s="2036"/>
      <c r="V81" s="1628"/>
      <c r="W81" s="1629"/>
      <c r="X81" s="1630"/>
      <c r="Y81" s="1629"/>
      <c r="Z81" s="1629"/>
    </row>
    <row r="82" spans="1:26" s="1542" customFormat="1" ht="15.75" customHeight="1" thickBot="1">
      <c r="A82" s="1580"/>
      <c r="B82" s="2070">
        <f>+IF(+SUM(F82:N82)=0,0,"Контрола: дефицит/излишък = финансиране с обратен знак (Г. + Д. = 0)")</f>
        <v>0</v>
      </c>
      <c r="C82" s="2071"/>
      <c r="D82" s="2072"/>
      <c r="E82" s="1544"/>
      <c r="F82" s="1633">
        <f>+ROUND(F83,0)+ROUND(F84,0)</f>
        <v>0</v>
      </c>
      <c r="G82" s="1634">
        <f>+ROUND(G83,0)+ROUND(G84,0)</f>
        <v>0</v>
      </c>
      <c r="H82" s="1544"/>
      <c r="I82" s="1633">
        <f>+ROUND(I83,0)+ROUND(I84,0)</f>
        <v>0</v>
      </c>
      <c r="J82" s="1634">
        <f>+ROUND(J83,0)+ROUND(J84,0)</f>
        <v>0</v>
      </c>
      <c r="K82" s="1544"/>
      <c r="L82" s="1634">
        <f>+ROUND(L83,0)+ROUND(L84,0)</f>
        <v>0</v>
      </c>
      <c r="M82" s="1544"/>
      <c r="N82" s="1635">
        <f>+ROUND(N83,0)+ROUND(N84,0)</f>
        <v>0</v>
      </c>
      <c r="O82" s="1584"/>
      <c r="P82" s="1633">
        <f>+ROUND(P83,0)+ROUND(P84,0)</f>
        <v>0</v>
      </c>
      <c r="Q82" s="1634">
        <f>+ROUND(Q83,0)+ROUND(Q84,0)</f>
        <v>0</v>
      </c>
      <c r="R82" s="1736"/>
      <c r="S82" s="1854"/>
      <c r="T82" s="1855"/>
      <c r="U82" s="1856"/>
      <c r="V82" s="1572"/>
      <c r="W82" s="1552"/>
      <c r="X82" s="1552"/>
      <c r="Y82" s="1552"/>
      <c r="Z82" s="1552"/>
    </row>
    <row r="83" spans="1:26" s="1542" customFormat="1" ht="19.5" thickTop="1">
      <c r="A83" s="1580"/>
      <c r="B83" s="1730" t="s">
        <v>1814</v>
      </c>
      <c r="C83" s="1636"/>
      <c r="D83" s="1637"/>
      <c r="E83" s="1544"/>
      <c r="F83" s="1791">
        <f>+ROUND(F48,0)-ROUND(F77,0)+ROUND(F81,0)</f>
        <v>37430800</v>
      </c>
      <c r="G83" s="1792">
        <f>+ROUND(G48,0)-ROUND(G77,0)+ROUND(G81,0)</f>
        <v>17495</v>
      </c>
      <c r="H83" s="1544"/>
      <c r="I83" s="1791">
        <f>+ROUND(I48,0)-ROUND(I77,0)+ROUND(I81,0)</f>
        <v>0</v>
      </c>
      <c r="J83" s="1792">
        <f>+ROUND(J48,0)-ROUND(J77,0)+ROUND(J81,0)</f>
        <v>0</v>
      </c>
      <c r="K83" s="1754"/>
      <c r="L83" s="1792">
        <f>+ROUND(L48,0)-ROUND(L77,0)+ROUND(L81,0)</f>
        <v>0</v>
      </c>
      <c r="M83" s="1754"/>
      <c r="N83" s="1793">
        <f>+ROUND(N48,0)-ROUND(N77,0)+ROUND(N81,0)</f>
        <v>17495</v>
      </c>
      <c r="O83" s="1794"/>
      <c r="P83" s="1791">
        <f>+ROUND(P48,0)-ROUND(P77,0)+ROUND(P81,0)</f>
        <v>37430800</v>
      </c>
      <c r="Q83" s="1792">
        <f>+ROUND(Q48,0)-ROUND(Q77,0)+ROUND(Q81,0)</f>
        <v>17495</v>
      </c>
      <c r="R83" s="1736"/>
      <c r="S83" s="1730" t="s">
        <v>1814</v>
      </c>
      <c r="T83" s="1636"/>
      <c r="U83" s="1637"/>
      <c r="V83" s="1628"/>
      <c r="W83" s="1629"/>
      <c r="X83" s="1630"/>
      <c r="Y83" s="1629"/>
      <c r="Z83" s="1629"/>
    </row>
    <row r="84" spans="1:26" s="1542" customFormat="1" ht="19.5" thickBot="1">
      <c r="A84" s="1580"/>
      <c r="B84" s="1731" t="s">
        <v>1815</v>
      </c>
      <c r="C84" s="1638"/>
      <c r="D84" s="1639"/>
      <c r="E84" s="1583"/>
      <c r="F84" s="1795">
        <f>+ROUND(F101,0)+ROUND(F120,0)+ROUND(F127,0)-ROUND(F132,0)</f>
        <v>-37430800</v>
      </c>
      <c r="G84" s="1796">
        <f>+ROUND(G101,0)+ROUND(G120,0)+ROUND(G127,0)-ROUND(G132,0)</f>
        <v>-17495</v>
      </c>
      <c r="H84" s="1544"/>
      <c r="I84" s="1795">
        <f>+ROUND(I101,0)+ROUND(I120,0)+ROUND(I127,0)-ROUND(I132,0)</f>
        <v>0</v>
      </c>
      <c r="J84" s="1796">
        <f>+ROUND(J101,0)+ROUND(J120,0)+ROUND(J127,0)-ROUND(J132,0)</f>
        <v>0</v>
      </c>
      <c r="K84" s="1754"/>
      <c r="L84" s="1796">
        <f>+ROUND(L101,0)+ROUND(L120,0)+ROUND(L127,0)-ROUND(L132,0)</f>
        <v>0</v>
      </c>
      <c r="M84" s="1754"/>
      <c r="N84" s="1797">
        <f>+ROUND(N101,0)+ROUND(N120,0)+ROUND(N127,0)-ROUND(N132,0)</f>
        <v>-17495</v>
      </c>
      <c r="O84" s="1794"/>
      <c r="P84" s="1795">
        <f>+ROUND(P101,0)+ROUND(P120,0)+ROUND(P127,0)-ROUND(P132,0)</f>
        <v>-37430800</v>
      </c>
      <c r="Q84" s="1796">
        <f>+ROUND(Q101,0)+ROUND(Q120,0)+ROUND(Q127,0)-ROUND(Q132,0)</f>
        <v>-17495</v>
      </c>
      <c r="R84" s="1736"/>
      <c r="S84" s="1731" t="s">
        <v>1815</v>
      </c>
      <c r="T84" s="1638"/>
      <c r="U84" s="1639"/>
      <c r="V84" s="1628"/>
      <c r="W84" s="1629"/>
      <c r="X84" s="1630"/>
      <c r="Y84" s="1629"/>
      <c r="Z84" s="1629"/>
    </row>
    <row r="85" spans="1:26" s="1542" customFormat="1" ht="16.5" thickTop="1">
      <c r="A85" s="1580"/>
      <c r="B85" s="1714" t="s">
        <v>1816</v>
      </c>
      <c r="C85" s="1581"/>
      <c r="D85" s="1582"/>
      <c r="E85" s="1544"/>
      <c r="F85" s="1752"/>
      <c r="G85" s="1761"/>
      <c r="H85" s="1544"/>
      <c r="I85" s="1752"/>
      <c r="J85" s="1761"/>
      <c r="K85" s="1754"/>
      <c r="L85" s="1761"/>
      <c r="M85" s="1754"/>
      <c r="N85" s="1762"/>
      <c r="O85" s="1893"/>
      <c r="P85" s="1752"/>
      <c r="Q85" s="1761"/>
      <c r="R85" s="1736"/>
      <c r="S85" s="1714" t="s">
        <v>1816</v>
      </c>
      <c r="T85" s="1581"/>
      <c r="U85" s="1582"/>
      <c r="V85" s="1572"/>
      <c r="W85" s="1552"/>
      <c r="X85" s="1552"/>
      <c r="Y85" s="1552"/>
      <c r="Z85" s="1552"/>
    </row>
    <row r="86" spans="1:26" s="1542" customFormat="1" ht="15.75">
      <c r="A86" s="1580"/>
      <c r="B86" s="1715" t="s">
        <v>1817</v>
      </c>
      <c r="C86" s="1585"/>
      <c r="D86" s="1586"/>
      <c r="E86" s="1544"/>
      <c r="F86" s="1753"/>
      <c r="G86" s="1781"/>
      <c r="H86" s="1544"/>
      <c r="I86" s="1753"/>
      <c r="J86" s="1781"/>
      <c r="K86" s="1754"/>
      <c r="L86" s="1781"/>
      <c r="M86" s="1754"/>
      <c r="N86" s="1755"/>
      <c r="O86" s="1893"/>
      <c r="P86" s="1753"/>
      <c r="Q86" s="1781"/>
      <c r="R86" s="1736"/>
      <c r="S86" s="1715" t="s">
        <v>1817</v>
      </c>
      <c r="T86" s="1585"/>
      <c r="U86" s="1586"/>
      <c r="V86" s="1572"/>
      <c r="W86" s="1552"/>
      <c r="X86" s="1552"/>
      <c r="Y86" s="1552"/>
      <c r="Z86" s="1552"/>
    </row>
    <row r="87" spans="1:26" s="1542" customFormat="1" ht="15.75">
      <c r="A87" s="1580"/>
      <c r="B87" s="1713" t="s">
        <v>1818</v>
      </c>
      <c r="C87" s="1587"/>
      <c r="D87" s="1588"/>
      <c r="E87" s="1544"/>
      <c r="F87" s="1875">
        <f>+IF($P$2=0,$P87,0)</f>
        <v>0</v>
      </c>
      <c r="G87" s="1874">
        <f>+IF($P$2=0,$Q87,0)</f>
        <v>0</v>
      </c>
      <c r="H87" s="1544"/>
      <c r="I87" s="1875">
        <f>+IF(OR($P$2=98,$P$2=42,$P$2=96,$P$2=97),$P87,0)</f>
        <v>0</v>
      </c>
      <c r="J87" s="1874">
        <f>+IF(OR($P$2=98,$P$2=42,$P$2=96,$P$2=97),$Q87,0)</f>
        <v>0</v>
      </c>
      <c r="K87" s="1754"/>
      <c r="L87" s="1874">
        <f>+IF($P$2=33,$Q87,0)</f>
        <v>0</v>
      </c>
      <c r="M87" s="1754"/>
      <c r="N87" s="1756">
        <f>+ROUND(+G87+J87+L87,0)</f>
        <v>0</v>
      </c>
      <c r="O87" s="1893"/>
      <c r="P87" s="1875">
        <f>+ROUND(+OTCHET!E464+OTCHET!E465,0)</f>
        <v>0</v>
      </c>
      <c r="Q87" s="1874">
        <f>+ROUND(+OTCHET!F464+OTCHET!F465,0)</f>
        <v>0</v>
      </c>
      <c r="R87" s="1736"/>
      <c r="S87" s="2037" t="s">
        <v>1926</v>
      </c>
      <c r="T87" s="2038"/>
      <c r="U87" s="2039"/>
      <c r="V87" s="1572"/>
      <c r="W87" s="1552"/>
      <c r="X87" s="1552"/>
      <c r="Y87" s="1552"/>
      <c r="Z87" s="1552"/>
    </row>
    <row r="88" spans="1:26" s="1542" customFormat="1" ht="15.75">
      <c r="A88" s="1580"/>
      <c r="B88" s="1716" t="s">
        <v>1819</v>
      </c>
      <c r="C88" s="1589"/>
      <c r="D88" s="1590"/>
      <c r="E88" s="1544"/>
      <c r="F88" s="1787">
        <f>+IF($P$2=0,$P88,0)</f>
        <v>0</v>
      </c>
      <c r="G88" s="1786">
        <f>+IF($P$2=0,$Q88,0)</f>
        <v>0</v>
      </c>
      <c r="H88" s="1544"/>
      <c r="I88" s="1787">
        <f>+IF(OR($P$2=98,$P$2=42,$P$2=96,$P$2=97),$P88,0)</f>
        <v>0</v>
      </c>
      <c r="J88" s="1786">
        <f>+IF(OR($P$2=98,$P$2=42,$P$2=96,$P$2=97),$Q88,0)</f>
        <v>0</v>
      </c>
      <c r="K88" s="1754"/>
      <c r="L88" s="1786">
        <f>+IF($P$2=33,$Q88,0)</f>
        <v>0</v>
      </c>
      <c r="M88" s="1754"/>
      <c r="N88" s="1757">
        <f>+ROUND(+G88+J88+L88,0)</f>
        <v>0</v>
      </c>
      <c r="O88" s="1893"/>
      <c r="P88" s="1787">
        <f>+ROUND(OTCHET!E466+OTCHET!E537,0)</f>
        <v>0</v>
      </c>
      <c r="Q88" s="1786">
        <f>+ROUND(OTCHET!F466+OTCHET!F537,0)</f>
        <v>0</v>
      </c>
      <c r="R88" s="1736"/>
      <c r="S88" s="2028" t="s">
        <v>1927</v>
      </c>
      <c r="T88" s="2029"/>
      <c r="U88" s="2030"/>
      <c r="V88" s="1572"/>
      <c r="W88" s="1552"/>
      <c r="X88" s="1552"/>
      <c r="Y88" s="1552"/>
      <c r="Z88" s="1552"/>
    </row>
    <row r="89" spans="1:26" s="1542" customFormat="1" ht="15.75">
      <c r="A89" s="1580"/>
      <c r="B89" s="1591" t="s">
        <v>1820</v>
      </c>
      <c r="C89" s="1592"/>
      <c r="D89" s="1593"/>
      <c r="E89" s="1544"/>
      <c r="F89" s="1759">
        <f>+ROUND(+SUM(F87:F88),0)</f>
        <v>0</v>
      </c>
      <c r="G89" s="1758">
        <f>+ROUND(+SUM(G87:G88),0)</f>
        <v>0</v>
      </c>
      <c r="H89" s="1544"/>
      <c r="I89" s="1759">
        <f>+ROUND(+SUM(I87:I88),0)</f>
        <v>0</v>
      </c>
      <c r="J89" s="1758">
        <f>+ROUND(+SUM(J87:J88),0)</f>
        <v>0</v>
      </c>
      <c r="K89" s="1754"/>
      <c r="L89" s="1758">
        <f>+ROUND(+SUM(L87:L88),0)</f>
        <v>0</v>
      </c>
      <c r="M89" s="1754"/>
      <c r="N89" s="1760">
        <f>+ROUND(+SUM(N87:N88),0)</f>
        <v>0</v>
      </c>
      <c r="O89" s="1893"/>
      <c r="P89" s="1759">
        <f>+ROUND(+SUM(P87:P88),0)</f>
        <v>0</v>
      </c>
      <c r="Q89" s="1758">
        <f>+ROUND(+SUM(Q87:Q88),0)</f>
        <v>0</v>
      </c>
      <c r="R89" s="1736"/>
      <c r="S89" s="2049" t="s">
        <v>1928</v>
      </c>
      <c r="T89" s="2050"/>
      <c r="U89" s="2051"/>
      <c r="V89" s="1572"/>
      <c r="W89" s="1552"/>
      <c r="X89" s="1552"/>
      <c r="Y89" s="1552"/>
      <c r="Z89" s="1552"/>
    </row>
    <row r="90" spans="1:26" s="1542" customFormat="1" ht="15.75">
      <c r="A90" s="1580"/>
      <c r="B90" s="1717" t="s">
        <v>1821</v>
      </c>
      <c r="C90" s="1594"/>
      <c r="D90" s="1595"/>
      <c r="E90" s="1544"/>
      <c r="F90" s="1752"/>
      <c r="G90" s="1761"/>
      <c r="H90" s="1544"/>
      <c r="I90" s="1752"/>
      <c r="J90" s="1761"/>
      <c r="K90" s="1754"/>
      <c r="L90" s="1761"/>
      <c r="M90" s="1754"/>
      <c r="N90" s="1762"/>
      <c r="O90" s="1893"/>
      <c r="P90" s="1752"/>
      <c r="Q90" s="1761"/>
      <c r="R90" s="1736"/>
      <c r="S90" s="1717" t="s">
        <v>1821</v>
      </c>
      <c r="T90" s="1594"/>
      <c r="U90" s="1595"/>
      <c r="V90" s="1572"/>
      <c r="W90" s="1552"/>
      <c r="X90" s="1552"/>
      <c r="Y90" s="1552"/>
      <c r="Z90" s="1552"/>
    </row>
    <row r="91" spans="1:26" s="1542" customFormat="1" ht="15.75">
      <c r="A91" s="1580"/>
      <c r="B91" s="1718" t="s">
        <v>1822</v>
      </c>
      <c r="C91" s="1596"/>
      <c r="D91" s="1597"/>
      <c r="E91" s="1544"/>
      <c r="F91" s="1753">
        <f>+IF($P$2=0,$P91,0)</f>
        <v>0</v>
      </c>
      <c r="G91" s="1781">
        <f>+IF($P$2=0,$Q91,0)</f>
        <v>0</v>
      </c>
      <c r="H91" s="1544"/>
      <c r="I91" s="1753">
        <f>+IF(OR($P$2=98,$P$2=42,$P$2=96,$P$2=97),$P91,0)</f>
        <v>0</v>
      </c>
      <c r="J91" s="1781">
        <f>+IF(OR($P$2=98,$P$2=42,$P$2=96,$P$2=97),$Q91,0)</f>
        <v>0</v>
      </c>
      <c r="K91" s="1754"/>
      <c r="L91" s="1781">
        <f>+IF($P$2=33,$Q91,0)</f>
        <v>0</v>
      </c>
      <c r="M91" s="1754"/>
      <c r="N91" s="1755">
        <f>+ROUND(+G91+J91+L91,0)</f>
        <v>0</v>
      </c>
      <c r="O91" s="1893"/>
      <c r="P91" s="1753">
        <f>+ROUND(OTCHET!E468+OTCHET!E471+OTCHET!E481,0)</f>
        <v>0</v>
      </c>
      <c r="Q91" s="1781">
        <f>+ROUND(OTCHET!F468+OTCHET!F471+OTCHET!F481,0)</f>
        <v>0</v>
      </c>
      <c r="R91" s="1736"/>
      <c r="S91" s="2037" t="s">
        <v>1929</v>
      </c>
      <c r="T91" s="2038"/>
      <c r="U91" s="2039"/>
      <c r="V91" s="1572"/>
      <c r="W91" s="1552"/>
      <c r="X91" s="1552"/>
      <c r="Y91" s="1552"/>
      <c r="Z91" s="1552"/>
    </row>
    <row r="92" spans="1:26" s="1542" customFormat="1" ht="15.75">
      <c r="A92" s="1580"/>
      <c r="B92" s="1713" t="s">
        <v>1823</v>
      </c>
      <c r="C92" s="1587"/>
      <c r="D92" s="1588"/>
      <c r="E92" s="1544"/>
      <c r="F92" s="1787">
        <f>+IF($P$2=0,$P92,0)</f>
        <v>0</v>
      </c>
      <c r="G92" s="1786">
        <f>+IF($P$2=0,$Q92,0)</f>
        <v>0</v>
      </c>
      <c r="H92" s="1544"/>
      <c r="I92" s="1787">
        <f>+IF(OR($P$2=98,$P$2=42,$P$2=96,$P$2=97),$P92,0)</f>
        <v>0</v>
      </c>
      <c r="J92" s="1786">
        <f>+IF(OR($P$2=98,$P$2=42,$P$2=96,$P$2=97),$Q92,0)</f>
        <v>0</v>
      </c>
      <c r="K92" s="1754"/>
      <c r="L92" s="1786">
        <f>+IF($P$2=33,$Q92,0)</f>
        <v>0</v>
      </c>
      <c r="M92" s="1754"/>
      <c r="N92" s="1757">
        <f>+ROUND(+G92+J92+L92,0)</f>
        <v>0</v>
      </c>
      <c r="O92" s="1893"/>
      <c r="P92" s="1787">
        <f>+ROUND(OTCHET!E469+OTCHET!E472+OTCHET!E482+OTCHET!E504+IF(+OTCHET!E496&gt;0,+OTCHET!E496,0),0)</f>
        <v>0</v>
      </c>
      <c r="Q92" s="1786">
        <f>+ROUND(OTCHET!F469+OTCHET!F472+OTCHET!F482+OTCHET!F504+IF(+OTCHET!F496&gt;0,+OTCHET!F496,0),0)</f>
        <v>0</v>
      </c>
      <c r="R92" s="1736"/>
      <c r="S92" s="2028" t="s">
        <v>1930</v>
      </c>
      <c r="T92" s="2029"/>
      <c r="U92" s="2030"/>
      <c r="V92" s="1572"/>
      <c r="W92" s="1552"/>
      <c r="X92" s="1552"/>
      <c r="Y92" s="1552"/>
      <c r="Z92" s="1552"/>
    </row>
    <row r="93" spans="1:26" s="1542" customFormat="1" ht="15.75">
      <c r="A93" s="1580"/>
      <c r="B93" s="1713" t="s">
        <v>1824</v>
      </c>
      <c r="C93" s="1587"/>
      <c r="D93" s="1588"/>
      <c r="E93" s="1544"/>
      <c r="F93" s="1875">
        <f>+IF($P$2=0,$P93,0)</f>
        <v>0</v>
      </c>
      <c r="G93" s="1874">
        <f>+IF($P$2=0,$Q93,0)</f>
        <v>0</v>
      </c>
      <c r="H93" s="1544"/>
      <c r="I93" s="1875">
        <f>+IF(OR($P$2=98,$P$2=42,$P$2=96,$P$2=97),$P93,0)</f>
        <v>0</v>
      </c>
      <c r="J93" s="1874">
        <f>+IF(OR($P$2=98,$P$2=42,$P$2=96,$P$2=97),$Q93,0)</f>
        <v>0</v>
      </c>
      <c r="K93" s="1754"/>
      <c r="L93" s="1874">
        <f>+IF($P$2=33,$Q93,0)</f>
        <v>0</v>
      </c>
      <c r="M93" s="1754"/>
      <c r="N93" s="1756">
        <f>+ROUND(+G93+J93+L93,0)</f>
        <v>0</v>
      </c>
      <c r="O93" s="1893"/>
      <c r="P93" s="1875">
        <f>+ROUND(+SUM(OTCHET!E474:E476),0)</f>
        <v>0</v>
      </c>
      <c r="Q93" s="1874">
        <f>+ROUND(+SUM(OTCHET!F474:F476),0)</f>
        <v>0</v>
      </c>
      <c r="R93" s="1736"/>
      <c r="S93" s="2028" t="s">
        <v>1931</v>
      </c>
      <c r="T93" s="2029"/>
      <c r="U93" s="2030"/>
      <c r="V93" s="1572"/>
      <c r="W93" s="1552"/>
      <c r="X93" s="1552"/>
      <c r="Y93" s="1552"/>
      <c r="Z93" s="1552"/>
    </row>
    <row r="94" spans="1:26" s="1542" customFormat="1" ht="15.75">
      <c r="A94" s="1580"/>
      <c r="B94" s="1732" t="s">
        <v>1825</v>
      </c>
      <c r="C94" s="1640"/>
      <c r="D94" s="1641"/>
      <c r="E94" s="1544"/>
      <c r="F94" s="1764">
        <f>+IF($P$2=0,$P94,0)</f>
        <v>0</v>
      </c>
      <c r="G94" s="1763">
        <f>+IF($P$2=0,$Q94,0)</f>
        <v>0</v>
      </c>
      <c r="H94" s="1544"/>
      <c r="I94" s="1764">
        <f>+IF(OR($P$2=98,$P$2=42,$P$2=96,$P$2=97),$P94,0)</f>
        <v>0</v>
      </c>
      <c r="J94" s="1763">
        <f>+IF(OR($P$2=98,$P$2=42,$P$2=96,$P$2=97),$Q94,0)</f>
        <v>0</v>
      </c>
      <c r="K94" s="1754"/>
      <c r="L94" s="1763">
        <f>+IF($P$2=33,$Q94,0)</f>
        <v>0</v>
      </c>
      <c r="M94" s="1754"/>
      <c r="N94" s="1765">
        <f>+ROUND(+G94+J94+L94,0)</f>
        <v>0</v>
      </c>
      <c r="O94" s="1893"/>
      <c r="P94" s="1764">
        <f>+ROUND(+SUM(OTCHET!E477:E478),0)</f>
        <v>0</v>
      </c>
      <c r="Q94" s="1763">
        <f>+ROUND(+SUM(OTCHET!F477:F478),0)</f>
        <v>0</v>
      </c>
      <c r="R94" s="1736"/>
      <c r="S94" s="2067" t="s">
        <v>1932</v>
      </c>
      <c r="T94" s="2068"/>
      <c r="U94" s="2069"/>
      <c r="V94" s="1572"/>
      <c r="W94" s="1552"/>
      <c r="X94" s="1552"/>
      <c r="Y94" s="1552"/>
      <c r="Z94" s="1552"/>
    </row>
    <row r="95" spans="1:26" s="1542" customFormat="1" ht="15.75">
      <c r="A95" s="1580"/>
      <c r="B95" s="1591" t="s">
        <v>1826</v>
      </c>
      <c r="C95" s="1592"/>
      <c r="D95" s="1593"/>
      <c r="E95" s="1544"/>
      <c r="F95" s="1759">
        <f>+ROUND(+SUM(F91:F94),0)</f>
        <v>0</v>
      </c>
      <c r="G95" s="1758">
        <f>+ROUND(+SUM(G91:G94),0)</f>
        <v>0</v>
      </c>
      <c r="H95" s="1544"/>
      <c r="I95" s="1759">
        <f>+ROUND(+SUM(I91:I94),0)</f>
        <v>0</v>
      </c>
      <c r="J95" s="1758">
        <f>+ROUND(+SUM(J91:J94),0)</f>
        <v>0</v>
      </c>
      <c r="K95" s="1754"/>
      <c r="L95" s="1758">
        <f>+ROUND(+SUM(L91:L94),0)</f>
        <v>0</v>
      </c>
      <c r="M95" s="1754"/>
      <c r="N95" s="1760">
        <f>+ROUND(+SUM(N91:N94),0)</f>
        <v>0</v>
      </c>
      <c r="O95" s="1893"/>
      <c r="P95" s="1759">
        <f>+ROUND(+SUM(P91:P94),0)</f>
        <v>0</v>
      </c>
      <c r="Q95" s="1758">
        <f>+ROUND(+SUM(Q91:Q94),0)</f>
        <v>0</v>
      </c>
      <c r="R95" s="1736"/>
      <c r="S95" s="2049" t="s">
        <v>1933</v>
      </c>
      <c r="T95" s="2050"/>
      <c r="U95" s="2051"/>
      <c r="V95" s="1572"/>
      <c r="W95" s="1552"/>
      <c r="X95" s="1552"/>
      <c r="Y95" s="1552"/>
      <c r="Z95" s="1552"/>
    </row>
    <row r="96" spans="1:26" s="1542" customFormat="1" ht="15.75">
      <c r="A96" s="1580"/>
      <c r="B96" s="1717" t="s">
        <v>1827</v>
      </c>
      <c r="C96" s="1594"/>
      <c r="D96" s="1595"/>
      <c r="E96" s="1544"/>
      <c r="F96" s="1752"/>
      <c r="G96" s="1761"/>
      <c r="H96" s="1544"/>
      <c r="I96" s="1752"/>
      <c r="J96" s="1761"/>
      <c r="K96" s="1754"/>
      <c r="L96" s="1761"/>
      <c r="M96" s="1754"/>
      <c r="N96" s="1762"/>
      <c r="O96" s="1893"/>
      <c r="P96" s="1752"/>
      <c r="Q96" s="1761"/>
      <c r="R96" s="1736"/>
      <c r="S96" s="1717" t="s">
        <v>1827</v>
      </c>
      <c r="T96" s="1594"/>
      <c r="U96" s="1595"/>
      <c r="V96" s="1572"/>
      <c r="W96" s="1552"/>
      <c r="X96" s="1552"/>
      <c r="Y96" s="1552"/>
      <c r="Z96" s="1552"/>
    </row>
    <row r="97" spans="1:26" s="1542" customFormat="1" ht="15.75">
      <c r="A97" s="1580"/>
      <c r="B97" s="1718" t="s">
        <v>1828</v>
      </c>
      <c r="C97" s="1596"/>
      <c r="D97" s="1597"/>
      <c r="E97" s="1544"/>
      <c r="F97" s="1753">
        <f>+IF($P$2=0,$P97,0)</f>
        <v>0</v>
      </c>
      <c r="G97" s="1781">
        <f>+IF($P$2=0,$Q97,0)</f>
        <v>0</v>
      </c>
      <c r="H97" s="1544"/>
      <c r="I97" s="1753">
        <f>+IF(OR($P$2=98,$P$2=42,$P$2=96,$P$2=97),$P97,0)</f>
        <v>0</v>
      </c>
      <c r="J97" s="1781">
        <f>+IF(OR($P$2=98,$P$2=42,$P$2=96,$P$2=97),$Q97,0)</f>
        <v>0</v>
      </c>
      <c r="K97" s="1754"/>
      <c r="L97" s="1781">
        <f>+IF($P$2=33,$Q97,0)</f>
        <v>0</v>
      </c>
      <c r="M97" s="1754"/>
      <c r="N97" s="1755">
        <f>+ROUND(+G97+J97+L97,0)</f>
        <v>0</v>
      </c>
      <c r="O97" s="1893"/>
      <c r="P97" s="1753">
        <f>+ROUND(OTCHET!E538+OTCHET!E543,0)</f>
        <v>0</v>
      </c>
      <c r="Q97" s="1781">
        <f>+ROUND(OTCHET!F538+OTCHET!F543,0)</f>
        <v>0</v>
      </c>
      <c r="R97" s="1736"/>
      <c r="S97" s="2037" t="s">
        <v>1934</v>
      </c>
      <c r="T97" s="2038"/>
      <c r="U97" s="2039"/>
      <c r="V97" s="1572"/>
      <c r="W97" s="1552"/>
      <c r="X97" s="1552"/>
      <c r="Y97" s="1552"/>
      <c r="Z97" s="1552"/>
    </row>
    <row r="98" spans="1:26" s="1542" customFormat="1" ht="15.75">
      <c r="A98" s="1580"/>
      <c r="B98" s="1716" t="s">
        <v>1829</v>
      </c>
      <c r="C98" s="1589"/>
      <c r="D98" s="1590"/>
      <c r="E98" s="1544"/>
      <c r="F98" s="1787">
        <f>+IF($P$2=0,$P98,0)</f>
        <v>0</v>
      </c>
      <c r="G98" s="1786">
        <f>+IF($P$2=0,$Q98,0)</f>
        <v>0</v>
      </c>
      <c r="H98" s="1544"/>
      <c r="I98" s="1787">
        <f>+IF(OR($P$2=98,$P$2=42,$P$2=96,$P$2=97),$P98,0)</f>
        <v>0</v>
      </c>
      <c r="J98" s="1786">
        <f>+IF(OR($P$2=98,$P$2=42,$P$2=96,$P$2=97),$Q98,0)</f>
        <v>0</v>
      </c>
      <c r="K98" s="1754"/>
      <c r="L98" s="1786">
        <f>+IF($P$2=33,$Q98,0)</f>
        <v>0</v>
      </c>
      <c r="M98" s="1754"/>
      <c r="N98" s="1757">
        <f>+ROUND(+G98+J98+L98,0)</f>
        <v>0</v>
      </c>
      <c r="O98" s="1893"/>
      <c r="P98" s="1787">
        <f>+ROUND(+OTCHET!E479+OTCHET!E560+OTCHET!E562,0)</f>
        <v>0</v>
      </c>
      <c r="Q98" s="1786">
        <f>+ROUND(+OTCHET!F479+OTCHET!F560+OTCHET!F562,0)</f>
        <v>0</v>
      </c>
      <c r="R98" s="1736"/>
      <c r="S98" s="2028" t="s">
        <v>1935</v>
      </c>
      <c r="T98" s="2029"/>
      <c r="U98" s="2030"/>
      <c r="V98" s="1572"/>
      <c r="W98" s="1552"/>
      <c r="X98" s="1552"/>
      <c r="Y98" s="1552"/>
      <c r="Z98" s="1552"/>
    </row>
    <row r="99" spans="1:26" s="1542" customFormat="1" ht="15.75">
      <c r="A99" s="1580"/>
      <c r="B99" s="1591" t="s">
        <v>1830</v>
      </c>
      <c r="C99" s="1592"/>
      <c r="D99" s="1593"/>
      <c r="E99" s="1544"/>
      <c r="F99" s="1759">
        <f>+ROUND(+SUM(F97:F98),0)</f>
        <v>0</v>
      </c>
      <c r="G99" s="1758">
        <f>+ROUND(+SUM(G97:G98),0)</f>
        <v>0</v>
      </c>
      <c r="H99" s="1544"/>
      <c r="I99" s="1759">
        <f>+ROUND(+SUM(I97:I98),0)</f>
        <v>0</v>
      </c>
      <c r="J99" s="1758">
        <f>+ROUND(+SUM(J97:J98),0)</f>
        <v>0</v>
      </c>
      <c r="K99" s="1754"/>
      <c r="L99" s="1758">
        <f>+ROUND(+SUM(L97:L98),0)</f>
        <v>0</v>
      </c>
      <c r="M99" s="1754"/>
      <c r="N99" s="1760">
        <f>+ROUND(+SUM(N97:N98),0)</f>
        <v>0</v>
      </c>
      <c r="O99" s="1893"/>
      <c r="P99" s="1759">
        <f>+ROUND(+SUM(P97:P98),0)</f>
        <v>0</v>
      </c>
      <c r="Q99" s="1758">
        <f>+ROUND(+SUM(Q97:Q98),0)</f>
        <v>0</v>
      </c>
      <c r="R99" s="1736"/>
      <c r="S99" s="2049" t="s">
        <v>1936</v>
      </c>
      <c r="T99" s="2050"/>
      <c r="U99" s="2051"/>
      <c r="V99" s="1572"/>
      <c r="W99" s="1552"/>
      <c r="X99" s="1552"/>
      <c r="Y99" s="1552"/>
      <c r="Z99" s="1552"/>
    </row>
    <row r="100" spans="1:26" s="1542" customFormat="1" ht="8.25" customHeight="1">
      <c r="A100" s="1580"/>
      <c r="B100" s="1614"/>
      <c r="C100" s="1599"/>
      <c r="D100" s="1600"/>
      <c r="E100" s="1544"/>
      <c r="F100" s="1753"/>
      <c r="G100" s="1781"/>
      <c r="H100" s="1544"/>
      <c r="I100" s="1753"/>
      <c r="J100" s="1781"/>
      <c r="K100" s="1754"/>
      <c r="L100" s="1781"/>
      <c r="M100" s="1754"/>
      <c r="N100" s="1755"/>
      <c r="O100" s="1893"/>
      <c r="P100" s="1753"/>
      <c r="Q100" s="1781"/>
      <c r="R100" s="1736"/>
      <c r="S100" s="1845"/>
      <c r="T100" s="1846"/>
      <c r="U100" s="1847"/>
      <c r="V100" s="1572"/>
      <c r="W100" s="1552"/>
      <c r="X100" s="1552"/>
      <c r="Y100" s="1552"/>
      <c r="Z100" s="1552"/>
    </row>
    <row r="101" spans="1:26" s="1542" customFormat="1" ht="16.5" thickBot="1">
      <c r="A101" s="1580"/>
      <c r="B101" s="1726" t="s">
        <v>1831</v>
      </c>
      <c r="C101" s="1615"/>
      <c r="D101" s="1616"/>
      <c r="E101" s="1544"/>
      <c r="F101" s="1783">
        <f>+ROUND(F89+F95+F99,0)</f>
        <v>0</v>
      </c>
      <c r="G101" s="1782">
        <f>+ROUND(G89+G95+G99,0)</f>
        <v>0</v>
      </c>
      <c r="H101" s="1544"/>
      <c r="I101" s="1783">
        <f>+ROUND(I89+I95+I99,0)</f>
        <v>0</v>
      </c>
      <c r="J101" s="1782">
        <f>+ROUND(J89+J95+J99,0)</f>
        <v>0</v>
      </c>
      <c r="K101" s="1754"/>
      <c r="L101" s="1782">
        <f>+ROUND(L89+L95+L99,0)</f>
        <v>0</v>
      </c>
      <c r="M101" s="1754"/>
      <c r="N101" s="1784">
        <f>+ROUND(N89+N95+N99,0)</f>
        <v>0</v>
      </c>
      <c r="O101" s="1895"/>
      <c r="P101" s="1783">
        <f>+ROUND(P89+P95+P99,0)</f>
        <v>0</v>
      </c>
      <c r="Q101" s="1782">
        <f>+ROUND(Q89+Q95+Q99,0)</f>
        <v>0</v>
      </c>
      <c r="R101" s="1736"/>
      <c r="S101" s="2064" t="s">
        <v>107</v>
      </c>
      <c r="T101" s="2065"/>
      <c r="U101" s="2066"/>
      <c r="V101" s="1572"/>
      <c r="W101" s="1552"/>
      <c r="X101" s="1552"/>
      <c r="Y101" s="1552"/>
      <c r="Z101" s="1552"/>
    </row>
    <row r="102" spans="1:26" s="1542" customFormat="1" ht="15.75">
      <c r="A102" s="1580"/>
      <c r="B102" s="1714" t="s">
        <v>1832</v>
      </c>
      <c r="C102" s="1581"/>
      <c r="D102" s="1582"/>
      <c r="E102" s="1544"/>
      <c r="F102" s="1764"/>
      <c r="G102" s="1763"/>
      <c r="H102" s="1544"/>
      <c r="I102" s="1764"/>
      <c r="J102" s="1763"/>
      <c r="K102" s="1754"/>
      <c r="L102" s="1763"/>
      <c r="M102" s="1754"/>
      <c r="N102" s="1765"/>
      <c r="O102" s="1893"/>
      <c r="P102" s="1764"/>
      <c r="Q102" s="1763"/>
      <c r="R102" s="1736"/>
      <c r="S102" s="1857" t="s">
        <v>1832</v>
      </c>
      <c r="T102" s="1858"/>
      <c r="U102" s="1859"/>
      <c r="V102" s="1572"/>
      <c r="W102" s="1552"/>
      <c r="X102" s="1552"/>
      <c r="Y102" s="1552"/>
      <c r="Z102" s="1552"/>
    </row>
    <row r="103" spans="1:26" s="1542" customFormat="1" ht="15.75">
      <c r="A103" s="1580"/>
      <c r="B103" s="1715" t="s">
        <v>1833</v>
      </c>
      <c r="C103" s="1585"/>
      <c r="D103" s="1586"/>
      <c r="E103" s="1544"/>
      <c r="F103" s="1753"/>
      <c r="G103" s="1781"/>
      <c r="H103" s="1544"/>
      <c r="I103" s="1753"/>
      <c r="J103" s="1781"/>
      <c r="K103" s="1754"/>
      <c r="L103" s="1781"/>
      <c r="M103" s="1754"/>
      <c r="N103" s="1755"/>
      <c r="O103" s="1893"/>
      <c r="P103" s="1753"/>
      <c r="Q103" s="1781"/>
      <c r="R103" s="1736"/>
      <c r="S103" s="1860" t="s">
        <v>1833</v>
      </c>
      <c r="T103" s="1861"/>
      <c r="U103" s="1862"/>
      <c r="V103" s="1572"/>
      <c r="W103" s="1552"/>
      <c r="X103" s="1552"/>
      <c r="Y103" s="1552"/>
      <c r="Z103" s="1552"/>
    </row>
    <row r="104" spans="1:26" s="1542" customFormat="1" ht="15.75">
      <c r="A104" s="1580"/>
      <c r="B104" s="1713" t="s">
        <v>1834</v>
      </c>
      <c r="C104" s="1587"/>
      <c r="D104" s="1588"/>
      <c r="E104" s="1544"/>
      <c r="F104" s="1875">
        <f>+IF($P$2=0,$P104,0)</f>
        <v>0</v>
      </c>
      <c r="G104" s="1874">
        <f>+IF($P$2=0,$Q104,0)</f>
        <v>0</v>
      </c>
      <c r="H104" s="1544"/>
      <c r="I104" s="1875">
        <f>+IF(OR($P$2=98,$P$2=42,$P$2=96,$P$2=97),$P104,0)</f>
        <v>0</v>
      </c>
      <c r="J104" s="1874">
        <f>+IF(OR($P$2=98,$P$2=42,$P$2=96,$P$2=97),$Q104,0)</f>
        <v>0</v>
      </c>
      <c r="K104" s="1754"/>
      <c r="L104" s="1874">
        <f>+IF($P$2=33,$Q104,0)</f>
        <v>0</v>
      </c>
      <c r="M104" s="1754"/>
      <c r="N104" s="1756">
        <f>+ROUND(+G104+J104+L104,0)</f>
        <v>0</v>
      </c>
      <c r="O104" s="1893"/>
      <c r="P104" s="1875">
        <f>+ROUND(OTCHET!E500+OTCHET!E501+OTCHET!E514,0)</f>
        <v>0</v>
      </c>
      <c r="Q104" s="1874">
        <f>+ROUND(OTCHET!F500+OTCHET!F501+OTCHET!F514,0)</f>
        <v>0</v>
      </c>
      <c r="R104" s="1736"/>
      <c r="S104" s="2037" t="s">
        <v>108</v>
      </c>
      <c r="T104" s="2038"/>
      <c r="U104" s="2039"/>
      <c r="V104" s="1572"/>
      <c r="W104" s="1552"/>
      <c r="X104" s="1552"/>
      <c r="Y104" s="1552"/>
      <c r="Z104" s="1552"/>
    </row>
    <row r="105" spans="1:26" s="1542" customFormat="1" ht="15.75">
      <c r="A105" s="1580"/>
      <c r="B105" s="1716" t="s">
        <v>1835</v>
      </c>
      <c r="C105" s="1589"/>
      <c r="D105" s="1590"/>
      <c r="E105" s="1544"/>
      <c r="F105" s="1787">
        <f>+IF($P$2=0,$P105,0)</f>
        <v>0</v>
      </c>
      <c r="G105" s="1786">
        <f>+IF($P$2=0,$Q105,0)</f>
        <v>0</v>
      </c>
      <c r="H105" s="1544"/>
      <c r="I105" s="1787">
        <f>+IF(OR($P$2=98,$P$2=42,$P$2=96,$P$2=97),$P105,0)</f>
        <v>0</v>
      </c>
      <c r="J105" s="1786">
        <f>+IF(OR($P$2=98,$P$2=42,$P$2=96,$P$2=97),$Q105,0)</f>
        <v>0</v>
      </c>
      <c r="K105" s="1754"/>
      <c r="L105" s="1786">
        <f>+IF($P$2=33,$Q105,0)</f>
        <v>0</v>
      </c>
      <c r="M105" s="1754"/>
      <c r="N105" s="1757">
        <f>+ROUND(+G105+J105+L105,0)</f>
        <v>0</v>
      </c>
      <c r="O105" s="1893"/>
      <c r="P105" s="1787">
        <f>+ROUND(OTCHET!E502+OTCHET!E503+OTCHET!E518,0)</f>
        <v>0</v>
      </c>
      <c r="Q105" s="1786">
        <f>+ROUND(OTCHET!F502+OTCHET!F503+OTCHET!F518,0)</f>
        <v>0</v>
      </c>
      <c r="R105" s="1736"/>
      <c r="S105" s="2028" t="s">
        <v>109</v>
      </c>
      <c r="T105" s="2029"/>
      <c r="U105" s="2030"/>
      <c r="V105" s="1572"/>
      <c r="W105" s="1552"/>
      <c r="X105" s="1552"/>
      <c r="Y105" s="1552"/>
      <c r="Z105" s="1552"/>
    </row>
    <row r="106" spans="1:26" s="1542" customFormat="1" ht="15.75">
      <c r="A106" s="1580"/>
      <c r="B106" s="1618" t="s">
        <v>1836</v>
      </c>
      <c r="C106" s="1619"/>
      <c r="D106" s="1620"/>
      <c r="E106" s="1544"/>
      <c r="F106" s="1759">
        <f>+ROUND(+SUM(F104:F105),0)</f>
        <v>0</v>
      </c>
      <c r="G106" s="1758">
        <f>+ROUND(+SUM(G104:G105),0)</f>
        <v>0</v>
      </c>
      <c r="H106" s="1544"/>
      <c r="I106" s="1759">
        <f>+ROUND(+SUM(I104:I105),0)</f>
        <v>0</v>
      </c>
      <c r="J106" s="1758">
        <f>+ROUND(+SUM(J104:J105),0)</f>
        <v>0</v>
      </c>
      <c r="K106" s="1754"/>
      <c r="L106" s="1758">
        <f>+ROUND(+SUM(L104:L105),0)</f>
        <v>0</v>
      </c>
      <c r="M106" s="1754"/>
      <c r="N106" s="1760">
        <f>+ROUND(+SUM(N104:N105),0)</f>
        <v>0</v>
      </c>
      <c r="O106" s="1893"/>
      <c r="P106" s="1759">
        <f>+ROUND(+SUM(P104:P105),0)</f>
        <v>0</v>
      </c>
      <c r="Q106" s="1758">
        <f>+ROUND(+SUM(Q104:Q105),0)</f>
        <v>0</v>
      </c>
      <c r="R106" s="1736"/>
      <c r="S106" s="2049" t="s">
        <v>110</v>
      </c>
      <c r="T106" s="2050"/>
      <c r="U106" s="2051"/>
      <c r="V106" s="1572"/>
      <c r="W106" s="1552"/>
      <c r="X106" s="1552"/>
      <c r="Y106" s="1552"/>
      <c r="Z106" s="1552"/>
    </row>
    <row r="107" spans="1:26" s="1542" customFormat="1" ht="15.75">
      <c r="A107" s="1580"/>
      <c r="B107" s="1717" t="s">
        <v>1837</v>
      </c>
      <c r="C107" s="1594"/>
      <c r="D107" s="1595"/>
      <c r="E107" s="1544"/>
      <c r="F107" s="1752"/>
      <c r="G107" s="1761"/>
      <c r="H107" s="1544"/>
      <c r="I107" s="1752"/>
      <c r="J107" s="1761"/>
      <c r="K107" s="1754"/>
      <c r="L107" s="1761"/>
      <c r="M107" s="1754"/>
      <c r="N107" s="1762"/>
      <c r="O107" s="1893"/>
      <c r="P107" s="1752"/>
      <c r="Q107" s="1761"/>
      <c r="R107" s="1736"/>
      <c r="S107" s="1863" t="s">
        <v>1837</v>
      </c>
      <c r="T107" s="1864"/>
      <c r="U107" s="1865"/>
      <c r="V107" s="1572"/>
      <c r="W107" s="1552"/>
      <c r="X107" s="1552"/>
      <c r="Y107" s="1552"/>
      <c r="Z107" s="1552"/>
    </row>
    <row r="108" spans="1:26" s="1542" customFormat="1" ht="15.75">
      <c r="A108" s="1580"/>
      <c r="B108" s="1718" t="s">
        <v>1838</v>
      </c>
      <c r="C108" s="1596"/>
      <c r="D108" s="1597"/>
      <c r="E108" s="1544"/>
      <c r="F108" s="1753">
        <f>+IF($P$2=0,$P108,0)</f>
        <v>0</v>
      </c>
      <c r="G108" s="1781">
        <f>+IF($P$2=0,$Q108,0)</f>
        <v>0</v>
      </c>
      <c r="H108" s="1544"/>
      <c r="I108" s="1753">
        <f>+IF(OR($P$2=98,$P$2=42,$P$2=96,$P$2=97),$P108,0)</f>
        <v>0</v>
      </c>
      <c r="J108" s="1781">
        <f>+IF(OR($P$2=98,$P$2=42,$P$2=96,$P$2=97),$Q108,0)</f>
        <v>0</v>
      </c>
      <c r="K108" s="1754"/>
      <c r="L108" s="1781">
        <f>+IF($P$2=33,$Q108,0)</f>
        <v>0</v>
      </c>
      <c r="M108" s="1754"/>
      <c r="N108" s="1755">
        <f>+ROUND(+G108+J108+L108,0)</f>
        <v>0</v>
      </c>
      <c r="O108" s="1893"/>
      <c r="P108" s="1753">
        <f>+ROUND(OTCHET!E484+OTCHET!E485+OTCHET!E488+OTCHET!E489+OTCHET!E492+OTCHET!E493+OTCHET!E497+OTCHET!E506+OTCHET!E507+OTCHET!E510+OTCHET!E511,0)</f>
        <v>0</v>
      </c>
      <c r="Q108" s="1781">
        <f>+ROUND(OTCHET!F484+OTCHET!F485+OTCHET!F488+OTCHET!F489+OTCHET!F492+OTCHET!F493+OTCHET!F497+OTCHET!F506+OTCHET!F507+OTCHET!F510+OTCHET!F511,0)</f>
        <v>0</v>
      </c>
      <c r="R108" s="1736"/>
      <c r="S108" s="2058" t="s">
        <v>111</v>
      </c>
      <c r="T108" s="2059"/>
      <c r="U108" s="2060"/>
      <c r="V108" s="1572"/>
      <c r="W108" s="1552"/>
      <c r="X108" s="1552"/>
      <c r="Y108" s="1552"/>
      <c r="Z108" s="1552"/>
    </row>
    <row r="109" spans="1:26" s="1542" customFormat="1" ht="15.75">
      <c r="A109" s="1580"/>
      <c r="B109" s="1716" t="s">
        <v>133</v>
      </c>
      <c r="C109" s="1589"/>
      <c r="D109" s="1590"/>
      <c r="E109" s="1544"/>
      <c r="F109" s="1787">
        <f>+IF($P$2=0,$P109,0)</f>
        <v>0</v>
      </c>
      <c r="G109" s="1786">
        <f>+IF($P$2=0,$Q109,0)</f>
        <v>0</v>
      </c>
      <c r="H109" s="1544"/>
      <c r="I109" s="1787">
        <f>+IF(OR($P$2=98,$P$2=42,$P$2=96,$P$2=97),$P109,0)</f>
        <v>0</v>
      </c>
      <c r="J109" s="1786">
        <f>+IF(OR($P$2=98,$P$2=42,$P$2=96,$P$2=97),$Q109,0)</f>
        <v>0</v>
      </c>
      <c r="K109" s="1754"/>
      <c r="L109" s="1786">
        <f>+IF($P$2=33,$Q109,0)</f>
        <v>0</v>
      </c>
      <c r="M109" s="1754"/>
      <c r="N109" s="1757">
        <f>+ROUND(+G109+J109+L109,0)</f>
        <v>0</v>
      </c>
      <c r="O109" s="1893"/>
      <c r="P109" s="1787">
        <f>+ROUND(OTCHET!E486+OTCHET!E487+OTCHET!E490+OTCHET!E491+OTCHET!E494+OTCHET!E495+OTCHET!E498+OTCHET!E508+OTCHET!E509+OTCHET!E512+OTCHET!E513+IF(+OTCHET!E496&lt;0,+OTCHET!E496,0),0)</f>
        <v>0</v>
      </c>
      <c r="Q109" s="1786">
        <f>+ROUND(OTCHET!F486+OTCHET!F487+OTCHET!F490+OTCHET!F491+OTCHET!F494+OTCHET!F495+OTCHET!F498+OTCHET!F508+OTCHET!F509+OTCHET!F512+OTCHET!F513+IF(+OTCHET!F496&lt;0,+OTCHET!F496,0),0)</f>
        <v>0</v>
      </c>
      <c r="R109" s="1736"/>
      <c r="S109" s="2061" t="s">
        <v>112</v>
      </c>
      <c r="T109" s="2062"/>
      <c r="U109" s="2063"/>
      <c r="V109" s="1572"/>
      <c r="W109" s="1552"/>
      <c r="X109" s="1552"/>
      <c r="Y109" s="1552"/>
      <c r="Z109" s="1552"/>
    </row>
    <row r="110" spans="1:26" s="1542" customFormat="1" ht="15.75">
      <c r="A110" s="1580"/>
      <c r="B110" s="1618" t="s">
        <v>1839</v>
      </c>
      <c r="C110" s="1619"/>
      <c r="D110" s="1620"/>
      <c r="E110" s="1544"/>
      <c r="F110" s="1759">
        <f>+ROUND(+SUM(F108:F109),0)</f>
        <v>0</v>
      </c>
      <c r="G110" s="1758">
        <f>+ROUND(+SUM(G108:G109),0)</f>
        <v>0</v>
      </c>
      <c r="H110" s="1544"/>
      <c r="I110" s="1759">
        <f>+ROUND(+SUM(I108:I109),0)</f>
        <v>0</v>
      </c>
      <c r="J110" s="1758">
        <f>+ROUND(+SUM(J108:J109),0)</f>
        <v>0</v>
      </c>
      <c r="K110" s="1754"/>
      <c r="L110" s="1758">
        <f>+ROUND(+SUM(L108:L109),0)</f>
        <v>0</v>
      </c>
      <c r="M110" s="1754"/>
      <c r="N110" s="1760">
        <f>+ROUND(+SUM(N108:N109),0)</f>
        <v>0</v>
      </c>
      <c r="O110" s="1893"/>
      <c r="P110" s="1759">
        <f>+ROUND(+SUM(P108:P109),0)</f>
        <v>0</v>
      </c>
      <c r="Q110" s="1758">
        <f>+ROUND(+SUM(Q108:Q109),0)</f>
        <v>0</v>
      </c>
      <c r="R110" s="1736"/>
      <c r="S110" s="2049" t="s">
        <v>113</v>
      </c>
      <c r="T110" s="2050"/>
      <c r="U110" s="2051"/>
      <c r="V110" s="1572"/>
      <c r="W110" s="1552"/>
      <c r="X110" s="1552"/>
      <c r="Y110" s="1552"/>
      <c r="Z110" s="1552"/>
    </row>
    <row r="111" spans="1:26" s="1542" customFormat="1" ht="15.75">
      <c r="A111" s="1580"/>
      <c r="B111" s="1717" t="s">
        <v>1840</v>
      </c>
      <c r="C111" s="1594"/>
      <c r="D111" s="1595"/>
      <c r="E111" s="1544"/>
      <c r="F111" s="1752"/>
      <c r="G111" s="1761"/>
      <c r="H111" s="1544"/>
      <c r="I111" s="1752"/>
      <c r="J111" s="1761"/>
      <c r="K111" s="1754"/>
      <c r="L111" s="1761"/>
      <c r="M111" s="1754"/>
      <c r="N111" s="1762"/>
      <c r="O111" s="1893"/>
      <c r="P111" s="1752"/>
      <c r="Q111" s="1761"/>
      <c r="R111" s="1736"/>
      <c r="S111" s="1863" t="s">
        <v>1840</v>
      </c>
      <c r="T111" s="1864"/>
      <c r="U111" s="1865"/>
      <c r="V111" s="1572"/>
      <c r="W111" s="1552"/>
      <c r="X111" s="1552"/>
      <c r="Y111" s="1552"/>
      <c r="Z111" s="1552"/>
    </row>
    <row r="112" spans="1:26" s="1542" customFormat="1" ht="15.75">
      <c r="A112" s="1580"/>
      <c r="B112" s="1718" t="s">
        <v>1841</v>
      </c>
      <c r="C112" s="1596"/>
      <c r="D112" s="1597"/>
      <c r="E112" s="1544"/>
      <c r="F112" s="1753">
        <f>+IF($P$2=0,$P112,0)</f>
        <v>0</v>
      </c>
      <c r="G112" s="1781">
        <f>+IF($P$2=0,$Q112,0)</f>
        <v>0</v>
      </c>
      <c r="H112" s="1544"/>
      <c r="I112" s="1753">
        <f>+IF(OR($P$2=98,$P$2=42,$P$2=96,$P$2=97),$P112,0)</f>
        <v>0</v>
      </c>
      <c r="J112" s="1781">
        <f>+IF(OR($P$2=98,$P$2=42,$P$2=96,$P$2=97),$Q112,0)</f>
        <v>0</v>
      </c>
      <c r="K112" s="1754"/>
      <c r="L112" s="1781">
        <f>+IF($P$2=33,$Q112,0)</f>
        <v>0</v>
      </c>
      <c r="M112" s="1754"/>
      <c r="N112" s="1755">
        <f>+ROUND(+G112+J112+L112,0)</f>
        <v>0</v>
      </c>
      <c r="O112" s="1893"/>
      <c r="P112" s="1753">
        <f>+ROUND(OTCHET!E549,0)</f>
        <v>0</v>
      </c>
      <c r="Q112" s="1781">
        <f>+ROUND(OTCHET!F549,0)</f>
        <v>0</v>
      </c>
      <c r="R112" s="1736"/>
      <c r="S112" s="2037" t="s">
        <v>114</v>
      </c>
      <c r="T112" s="2038"/>
      <c r="U112" s="2039"/>
      <c r="V112" s="1572"/>
      <c r="W112" s="1552"/>
      <c r="X112" s="1552"/>
      <c r="Y112" s="1552"/>
      <c r="Z112" s="1552"/>
    </row>
    <row r="113" spans="1:26" s="1542" customFormat="1" ht="15.75">
      <c r="A113" s="1580"/>
      <c r="B113" s="1716" t="s">
        <v>1842</v>
      </c>
      <c r="C113" s="1589"/>
      <c r="D113" s="1590"/>
      <c r="E113" s="1544"/>
      <c r="F113" s="1787">
        <f>+IF($P$2=0,$P113,0)</f>
        <v>0</v>
      </c>
      <c r="G113" s="1786">
        <f>+IF($P$2=0,$Q113,0)</f>
        <v>0</v>
      </c>
      <c r="H113" s="1544"/>
      <c r="I113" s="1787">
        <f>+IF(OR($P$2=98,$P$2=42,$P$2=96,$P$2=97),$P113,0)</f>
        <v>0</v>
      </c>
      <c r="J113" s="1786">
        <f>+IF(OR($P$2=98,$P$2=42,$P$2=96,$P$2=97),$Q113,0)</f>
        <v>0</v>
      </c>
      <c r="K113" s="1754"/>
      <c r="L113" s="1786">
        <f>+IF($P$2=33,$Q113,0)</f>
        <v>0</v>
      </c>
      <c r="M113" s="1754"/>
      <c r="N113" s="1757">
        <f>+ROUND(+G113+J113+L113,0)</f>
        <v>0</v>
      </c>
      <c r="O113" s="1893"/>
      <c r="P113" s="1787">
        <f>+ROUND(OTCHET!E550,0)</f>
        <v>0</v>
      </c>
      <c r="Q113" s="1786">
        <f>+ROUND(OTCHET!F550,0)</f>
        <v>0</v>
      </c>
      <c r="R113" s="1736"/>
      <c r="S113" s="2028" t="s">
        <v>115</v>
      </c>
      <c r="T113" s="2029"/>
      <c r="U113" s="2030"/>
      <c r="V113" s="1572"/>
      <c r="W113" s="1552"/>
      <c r="X113" s="1552"/>
      <c r="Y113" s="1552"/>
      <c r="Z113" s="1552"/>
    </row>
    <row r="114" spans="1:26" s="1542" customFormat="1" ht="15.75">
      <c r="A114" s="1580"/>
      <c r="B114" s="1618" t="s">
        <v>1843</v>
      </c>
      <c r="C114" s="1619"/>
      <c r="D114" s="1620"/>
      <c r="E114" s="1544"/>
      <c r="F114" s="1759">
        <f>+ROUND(+SUM(F112:F113),0)</f>
        <v>0</v>
      </c>
      <c r="G114" s="1758">
        <f>+ROUND(+SUM(G112:G113),0)</f>
        <v>0</v>
      </c>
      <c r="H114" s="1544"/>
      <c r="I114" s="1759">
        <f>+ROUND(+SUM(I112:I113),0)</f>
        <v>0</v>
      </c>
      <c r="J114" s="1758">
        <f>+ROUND(+SUM(J112:J113),0)</f>
        <v>0</v>
      </c>
      <c r="K114" s="1754"/>
      <c r="L114" s="1758">
        <f>+ROUND(+SUM(L112:L113),0)</f>
        <v>0</v>
      </c>
      <c r="M114" s="1754"/>
      <c r="N114" s="1760">
        <f>+ROUND(+SUM(N112:N113),0)</f>
        <v>0</v>
      </c>
      <c r="O114" s="1893"/>
      <c r="P114" s="1759">
        <f>+ROUND(+SUM(P112:P113),0)</f>
        <v>0</v>
      </c>
      <c r="Q114" s="1758">
        <f>+ROUND(+SUM(Q112:Q113),0)</f>
        <v>0</v>
      </c>
      <c r="R114" s="1736"/>
      <c r="S114" s="2049" t="s">
        <v>116</v>
      </c>
      <c r="T114" s="2050"/>
      <c r="U114" s="2051"/>
      <c r="V114" s="1572"/>
      <c r="W114" s="1552"/>
      <c r="X114" s="1552"/>
      <c r="Y114" s="1552"/>
      <c r="Z114" s="1552"/>
    </row>
    <row r="115" spans="1:26" s="1542" customFormat="1" ht="15.75">
      <c r="A115" s="1580"/>
      <c r="B115" s="1717" t="s">
        <v>1844</v>
      </c>
      <c r="C115" s="1594"/>
      <c r="D115" s="1595"/>
      <c r="E115" s="1617"/>
      <c r="F115" s="1764"/>
      <c r="G115" s="1763"/>
      <c r="H115" s="1544"/>
      <c r="I115" s="1764"/>
      <c r="J115" s="1763"/>
      <c r="K115" s="1754"/>
      <c r="L115" s="1763"/>
      <c r="M115" s="1754"/>
      <c r="N115" s="1765"/>
      <c r="O115" s="1893"/>
      <c r="P115" s="1764"/>
      <c r="Q115" s="1763"/>
      <c r="R115" s="1736"/>
      <c r="S115" s="1863" t="s">
        <v>1844</v>
      </c>
      <c r="T115" s="1864"/>
      <c r="U115" s="1865"/>
      <c r="V115" s="1572"/>
      <c r="W115" s="1552"/>
      <c r="X115" s="1552"/>
      <c r="Y115" s="1552"/>
      <c r="Z115" s="1552"/>
    </row>
    <row r="116" spans="1:26" s="1542" customFormat="1" ht="15.75">
      <c r="A116" s="1580"/>
      <c r="B116" s="1718" t="s">
        <v>1845</v>
      </c>
      <c r="C116" s="1596"/>
      <c r="D116" s="1597"/>
      <c r="E116" s="1617"/>
      <c r="F116" s="1764">
        <f>+IF($P$2=0,$P116,0)</f>
        <v>0</v>
      </c>
      <c r="G116" s="1763">
        <f>+IF($P$2=0,$Q116,0)</f>
        <v>0</v>
      </c>
      <c r="H116" s="1544"/>
      <c r="I116" s="1764">
        <f>+IF(OR($P$2=98,$P$2=42,$P$2=96,$P$2=97),$P116,0)</f>
        <v>0</v>
      </c>
      <c r="J116" s="1763">
        <f>+IF(OR($P$2=98,$P$2=42,$P$2=96,$P$2=97),$Q116,0)</f>
        <v>0</v>
      </c>
      <c r="K116" s="1754"/>
      <c r="L116" s="1763">
        <f>+IF($P$2=33,$Q116,0)</f>
        <v>0</v>
      </c>
      <c r="M116" s="1754"/>
      <c r="N116" s="1765">
        <f>+ROUND(+G116+J116+L116,0)</f>
        <v>0</v>
      </c>
      <c r="O116" s="1893"/>
      <c r="P116" s="1764">
        <f>+ROUND(OTCHET!E547+OTCHET!E548+OTCHET!E564+OTCHET!E565,0)</f>
        <v>0</v>
      </c>
      <c r="Q116" s="1763">
        <f>+ROUND(OTCHET!F547+OTCHET!F548+OTCHET!F564+OTCHET!F565,0)</f>
        <v>0</v>
      </c>
      <c r="R116" s="1736"/>
      <c r="S116" s="2037" t="s">
        <v>117</v>
      </c>
      <c r="T116" s="2038"/>
      <c r="U116" s="2039"/>
      <c r="V116" s="1572"/>
      <c r="W116" s="1552"/>
      <c r="X116" s="1552"/>
      <c r="Y116" s="1552"/>
      <c r="Z116" s="1552"/>
    </row>
    <row r="117" spans="1:26" s="1542" customFormat="1" ht="15.75">
      <c r="A117" s="1580"/>
      <c r="B117" s="1716" t="s">
        <v>1846</v>
      </c>
      <c r="C117" s="1589"/>
      <c r="D117" s="1590"/>
      <c r="E117" s="1544"/>
      <c r="F117" s="1787">
        <f>+IF($P$2=0,$P117,0)</f>
        <v>0</v>
      </c>
      <c r="G117" s="1786">
        <f>+IF($P$2=0,$Q117,0)</f>
        <v>0</v>
      </c>
      <c r="H117" s="1544"/>
      <c r="I117" s="1787">
        <f>+IF(OR($P$2=98,$P$2=42,$P$2=96,$P$2=97),$P117,0)</f>
        <v>0</v>
      </c>
      <c r="J117" s="1786">
        <f>+IF(OR($P$2=98,$P$2=42,$P$2=96,$P$2=97),$Q117,0)</f>
        <v>0</v>
      </c>
      <c r="K117" s="1754"/>
      <c r="L117" s="1786">
        <f>+IF($P$2=33,$Q117,0)</f>
        <v>0</v>
      </c>
      <c r="M117" s="1754"/>
      <c r="N117" s="1757">
        <f>+ROUND(+G117+J117+L117,0)</f>
        <v>0</v>
      </c>
      <c r="O117" s="1893"/>
      <c r="P117" s="1787">
        <f>+ROUND(OTCHET!E561+OTCHET!E563,0)</f>
        <v>0</v>
      </c>
      <c r="Q117" s="1786">
        <f>+ROUND(OTCHET!F561+OTCHET!F563,0)</f>
        <v>0</v>
      </c>
      <c r="R117" s="1736"/>
      <c r="S117" s="2028" t="s">
        <v>118</v>
      </c>
      <c r="T117" s="2029"/>
      <c r="U117" s="2030"/>
      <c r="V117" s="1572"/>
      <c r="W117" s="1552"/>
      <c r="X117" s="1552"/>
      <c r="Y117" s="1552"/>
      <c r="Z117" s="1552"/>
    </row>
    <row r="118" spans="1:26" s="1542" customFormat="1" ht="15.75">
      <c r="A118" s="1580"/>
      <c r="B118" s="1618" t="s">
        <v>1847</v>
      </c>
      <c r="C118" s="1619"/>
      <c r="D118" s="1620"/>
      <c r="E118" s="1544"/>
      <c r="F118" s="1759">
        <f>+ROUND(+SUM(F116:F117),0)</f>
        <v>0</v>
      </c>
      <c r="G118" s="1758">
        <f>+ROUND(+SUM(G116:G117),0)</f>
        <v>0</v>
      </c>
      <c r="H118" s="1544"/>
      <c r="I118" s="1759">
        <f>+ROUND(+SUM(I116:I117),0)</f>
        <v>0</v>
      </c>
      <c r="J118" s="1758">
        <f>+ROUND(+SUM(J116:J117),0)</f>
        <v>0</v>
      </c>
      <c r="K118" s="1754"/>
      <c r="L118" s="1758">
        <f>+ROUND(+SUM(L116:L117),0)</f>
        <v>0</v>
      </c>
      <c r="M118" s="1754"/>
      <c r="N118" s="1760">
        <f>+ROUND(+SUM(N116:N117),0)</f>
        <v>0</v>
      </c>
      <c r="O118" s="1893"/>
      <c r="P118" s="1759">
        <f>+ROUND(+SUM(P116:P117),0)</f>
        <v>0</v>
      </c>
      <c r="Q118" s="1758">
        <f>+ROUND(+SUM(Q116:Q117),0)</f>
        <v>0</v>
      </c>
      <c r="R118" s="1736"/>
      <c r="S118" s="2049" t="s">
        <v>119</v>
      </c>
      <c r="T118" s="2050"/>
      <c r="U118" s="2051"/>
      <c r="V118" s="1572"/>
      <c r="W118" s="1552"/>
      <c r="X118" s="1552"/>
      <c r="Y118" s="1552"/>
      <c r="Z118" s="1552"/>
    </row>
    <row r="119" spans="1:26" s="1542" customFormat="1" ht="8.25" customHeight="1">
      <c r="A119" s="1580"/>
      <c r="B119" s="1623"/>
      <c r="C119" s="1624"/>
      <c r="D119" s="1625"/>
      <c r="E119" s="1544"/>
      <c r="F119" s="1787"/>
      <c r="G119" s="1786"/>
      <c r="H119" s="1544"/>
      <c r="I119" s="1787"/>
      <c r="J119" s="1786"/>
      <c r="K119" s="1754"/>
      <c r="L119" s="1786"/>
      <c r="M119" s="1754"/>
      <c r="N119" s="1757"/>
      <c r="O119" s="1893"/>
      <c r="P119" s="1787"/>
      <c r="Q119" s="1786"/>
      <c r="R119" s="1736"/>
      <c r="S119" s="1851"/>
      <c r="T119" s="1852"/>
      <c r="U119" s="1853"/>
      <c r="V119" s="1572"/>
      <c r="W119" s="1552"/>
      <c r="X119" s="1552"/>
      <c r="Y119" s="1552"/>
      <c r="Z119" s="1552"/>
    </row>
    <row r="120" spans="1:26" s="1542" customFormat="1" ht="16.5" thickBot="1">
      <c r="A120" s="1580"/>
      <c r="B120" s="1728" t="s">
        <v>1848</v>
      </c>
      <c r="C120" s="1626"/>
      <c r="D120" s="1627"/>
      <c r="E120" s="1544"/>
      <c r="F120" s="1783">
        <f>+ROUND(F106+F110+F114+F118,0)</f>
        <v>0</v>
      </c>
      <c r="G120" s="1782">
        <f>+ROUND(G106+G110+G114+G118,0)</f>
        <v>0</v>
      </c>
      <c r="H120" s="1544"/>
      <c r="I120" s="1783">
        <f>+ROUND(I106+I110+I114+I118,0)</f>
        <v>0</v>
      </c>
      <c r="J120" s="1782">
        <f>+ROUND(J106+J110+J114+J118,0)</f>
        <v>0</v>
      </c>
      <c r="K120" s="1754"/>
      <c r="L120" s="1782">
        <f>+ROUND(L106+L110+L114+L118,0)</f>
        <v>0</v>
      </c>
      <c r="M120" s="1754"/>
      <c r="N120" s="1784">
        <f>+ROUND(N106+N110+N114+N118,0)</f>
        <v>0</v>
      </c>
      <c r="O120" s="1893"/>
      <c r="P120" s="1783">
        <f>+ROUND(P106+P110+P114+P118,0)</f>
        <v>0</v>
      </c>
      <c r="Q120" s="1782">
        <f>+ROUND(Q106+Q110+Q114+Q118,0)</f>
        <v>0</v>
      </c>
      <c r="R120" s="1736"/>
      <c r="S120" s="2052" t="s">
        <v>120</v>
      </c>
      <c r="T120" s="2053"/>
      <c r="U120" s="2054"/>
      <c r="V120" s="1628"/>
      <c r="W120" s="1629"/>
      <c r="X120" s="1630"/>
      <c r="Y120" s="1629"/>
      <c r="Z120" s="1629"/>
    </row>
    <row r="121" spans="1:26" s="1542" customFormat="1" ht="15.75">
      <c r="A121" s="1580"/>
      <c r="B121" s="1714" t="s">
        <v>1849</v>
      </c>
      <c r="C121" s="1581"/>
      <c r="D121" s="1582"/>
      <c r="E121" s="1544"/>
      <c r="F121" s="1764"/>
      <c r="G121" s="1763"/>
      <c r="H121" s="1544"/>
      <c r="I121" s="1764"/>
      <c r="J121" s="1763"/>
      <c r="K121" s="1754"/>
      <c r="L121" s="1763"/>
      <c r="M121" s="1754"/>
      <c r="N121" s="1765"/>
      <c r="O121" s="1893"/>
      <c r="P121" s="1764"/>
      <c r="Q121" s="1763"/>
      <c r="R121" s="1736"/>
      <c r="S121" s="1857" t="s">
        <v>1849</v>
      </c>
      <c r="T121" s="1858"/>
      <c r="U121" s="1859"/>
      <c r="V121" s="1572"/>
      <c r="W121" s="1552"/>
      <c r="X121" s="1552"/>
      <c r="Y121" s="1552"/>
      <c r="Z121" s="1552"/>
    </row>
    <row r="122" spans="1:26" s="1542" customFormat="1" ht="15.75">
      <c r="A122" s="1580"/>
      <c r="B122" s="1718" t="s">
        <v>1850</v>
      </c>
      <c r="C122" s="1596"/>
      <c r="D122" s="1597"/>
      <c r="E122" s="1544"/>
      <c r="F122" s="1753">
        <f>+IF($P$2=0,$P122,0)</f>
        <v>0</v>
      </c>
      <c r="G122" s="1781">
        <f>+IF($P$2=0,$Q122,0)</f>
        <v>0</v>
      </c>
      <c r="H122" s="1544"/>
      <c r="I122" s="1753">
        <f>+IF(OR($P$2=98,$P$2=42,$P$2=96,$P$2=97),$P122,0)</f>
        <v>0</v>
      </c>
      <c r="J122" s="1781">
        <f>+IF(OR($P$2=98,$P$2=42,$P$2=96,$P$2=97),$Q122,0)</f>
        <v>0</v>
      </c>
      <c r="K122" s="1754"/>
      <c r="L122" s="1781">
        <f>+IF($P$2=33,$Q122,0)</f>
        <v>0</v>
      </c>
      <c r="M122" s="1754"/>
      <c r="N122" s="1755">
        <f>+ROUND(+G122+J122+L122,0)</f>
        <v>0</v>
      </c>
      <c r="O122" s="1893"/>
      <c r="P122" s="1753">
        <f>+ROUND(+SUM(OTCHET!E551:E558),0)</f>
        <v>0</v>
      </c>
      <c r="Q122" s="1781">
        <f>+ROUND(+SUM(OTCHET!F551:F558),0)</f>
        <v>0</v>
      </c>
      <c r="R122" s="1736"/>
      <c r="S122" s="2037" t="s">
        <v>121</v>
      </c>
      <c r="T122" s="2038"/>
      <c r="U122" s="2039"/>
      <c r="V122" s="1572"/>
      <c r="W122" s="1552"/>
      <c r="X122" s="1552"/>
      <c r="Y122" s="1552"/>
      <c r="Z122" s="1552"/>
    </row>
    <row r="123" spans="1:26" s="1542" customFormat="1" ht="15.75">
      <c r="A123" s="1580"/>
      <c r="B123" s="1713" t="s">
        <v>1851</v>
      </c>
      <c r="C123" s="1587"/>
      <c r="D123" s="1588"/>
      <c r="E123" s="1544"/>
      <c r="F123" s="1787">
        <f>+IF($P$2=0,$P123,0)</f>
        <v>0</v>
      </c>
      <c r="G123" s="1786">
        <f>+IF($P$2=0,$Q123,0)</f>
        <v>0</v>
      </c>
      <c r="H123" s="1544"/>
      <c r="I123" s="1787">
        <f>+IF(OR($P$2=98,$P$2=42,$P$2=96,$P$2=97),$P123,0)</f>
        <v>0</v>
      </c>
      <c r="J123" s="1786">
        <f>+IF(OR($P$2=98,$P$2=42,$P$2=96,$P$2=97),$Q123,0)</f>
        <v>0</v>
      </c>
      <c r="K123" s="1754"/>
      <c r="L123" s="1786">
        <f>+IF($P$2=33,$Q123,0)</f>
        <v>0</v>
      </c>
      <c r="M123" s="1754"/>
      <c r="N123" s="1757">
        <f>+ROUND(+G123+J123+L123,0)</f>
        <v>0</v>
      </c>
      <c r="O123" s="1893"/>
      <c r="P123" s="1787">
        <f>+ROUND(OTCHET!E526,0)</f>
        <v>0</v>
      </c>
      <c r="Q123" s="1786">
        <f>+ROUND(OTCHET!F526,0)</f>
        <v>0</v>
      </c>
      <c r="R123" s="1736"/>
      <c r="S123" s="1868" t="s">
        <v>122</v>
      </c>
      <c r="T123" s="1869"/>
      <c r="U123" s="1870"/>
      <c r="V123" s="1572"/>
      <c r="W123" s="1552"/>
      <c r="X123" s="1552"/>
      <c r="Y123" s="1552"/>
      <c r="Z123" s="1552"/>
    </row>
    <row r="124" spans="1:26" s="1542" customFormat="1" ht="15.75">
      <c r="A124" s="1580"/>
      <c r="B124" s="1713" t="s">
        <v>1873</v>
      </c>
      <c r="C124" s="1587"/>
      <c r="D124" s="1588"/>
      <c r="E124" s="1544"/>
      <c r="F124" s="1787">
        <f>+IF($P$2=0,$P124,0)</f>
        <v>0</v>
      </c>
      <c r="G124" s="1786">
        <f>+IF($P$2=0,$Q124,0)</f>
        <v>0</v>
      </c>
      <c r="H124" s="1544"/>
      <c r="I124" s="1787">
        <f>+IF(OR($P$2=98,$P$2=42,$P$2=96,$P$2=97),$P124,0)</f>
        <v>0</v>
      </c>
      <c r="J124" s="1786">
        <f>+IF(OR($P$2=98,$P$2=42,$P$2=96,$P$2=97),$Q124,0)</f>
        <v>0</v>
      </c>
      <c r="K124" s="1754"/>
      <c r="L124" s="1786">
        <f>+IF($P$2=33,$Q124,0)</f>
        <v>0</v>
      </c>
      <c r="M124" s="1754"/>
      <c r="N124" s="1757">
        <f>+ROUND(+G124+J124+L124,0)</f>
        <v>0</v>
      </c>
      <c r="O124" s="1893"/>
      <c r="P124" s="1787">
        <f>+ROUND(+OTCHET!E523+OTCHET!E533+OTCHET!E559+OTCHET!E566+OTCHET!E567+OTCHET!E581+OTCHET!E593+IF(AND(OTCHET!$F$12="9900",+OTCHET!$E$15=0),+OTCHET!E588,0),0)</f>
        <v>0</v>
      </c>
      <c r="Q124" s="1786">
        <f>+ROUND(+OTCHET!F523+OTCHET!F533+OTCHET!F559+OTCHET!F566+OTCHET!F567+OTCHET!F581+OTCHET!F593+IF(AND(OTCHET!$F$12="9900",+OTCHET!$E$15=0,+(OTCHET!F591+OTCHET!F592)&gt;=0,+(OTCHET!F589+OTCHET!F590)&lt;=0),+OTCHET!F588,0),0)</f>
        <v>0</v>
      </c>
      <c r="R124" s="1736"/>
      <c r="S124" s="2028" t="s">
        <v>123</v>
      </c>
      <c r="T124" s="2029"/>
      <c r="U124" s="2030"/>
      <c r="V124" s="1572"/>
      <c r="W124" s="1552"/>
      <c r="X124" s="1552"/>
      <c r="Y124" s="1552"/>
      <c r="Z124" s="1552"/>
    </row>
    <row r="125" spans="1:26" s="1542" customFormat="1" ht="15.75" hidden="1">
      <c r="A125" s="1580"/>
      <c r="B125" s="2013" t="s">
        <v>2180</v>
      </c>
      <c r="C125" s="2008"/>
      <c r="D125" s="2009"/>
      <c r="E125" s="1544"/>
      <c r="F125" s="2010">
        <f>+IF($P$2=0,$P125,0)</f>
        <v>0</v>
      </c>
      <c r="G125" s="2011">
        <f>+IF($P$2=0,$Q125,0)</f>
        <v>0</v>
      </c>
      <c r="H125" s="1544"/>
      <c r="I125" s="2010"/>
      <c r="J125" s="2011"/>
      <c r="K125" s="1754"/>
      <c r="L125" s="2011"/>
      <c r="M125" s="1754"/>
      <c r="N125" s="2012">
        <f>+ROUND(+G125+J125+L125,0)</f>
        <v>0</v>
      </c>
      <c r="O125" s="1893"/>
      <c r="P125" s="2010">
        <f>+ROUND(+IF(AND(OTCHET!$F$12="9900",+OTCHET!$E$15=0,+(OTCHET!E591+OTCHET!E592)&gt;0,+(OTCHET!E589+OTCHET!E590)&lt;0),+OTCHET!E588,0),0)</f>
        <v>0</v>
      </c>
      <c r="Q125" s="2011">
        <f>+ROUND(+IF(AND(OTCHET!$F$12="9900",+OTCHET!$E$15=0,+(OTCHET!F591+OTCHET!F592)&gt;=0,+(OTCHET!F589+OTCHET!F590)&lt;=0),+OTCHET!F588,0),0)</f>
        <v>0</v>
      </c>
      <c r="R125" s="1736"/>
      <c r="S125" s="2055" t="s">
        <v>2179</v>
      </c>
      <c r="T125" s="2056"/>
      <c r="U125" s="2057"/>
      <c r="V125" s="1572"/>
      <c r="W125" s="1552"/>
      <c r="X125" s="1552"/>
      <c r="Y125" s="1552"/>
      <c r="Z125" s="1552"/>
    </row>
    <row r="126" spans="1:26" s="1542" customFormat="1" ht="15.75">
      <c r="A126" s="1580"/>
      <c r="B126" s="1733" t="s">
        <v>1852</v>
      </c>
      <c r="C126" s="1642"/>
      <c r="D126" s="1643"/>
      <c r="E126" s="1544"/>
      <c r="F126" s="1798"/>
      <c r="G126" s="1799"/>
      <c r="H126" s="1544"/>
      <c r="I126" s="1798"/>
      <c r="J126" s="1799"/>
      <c r="K126" s="1754"/>
      <c r="L126" s="1799"/>
      <c r="M126" s="1754"/>
      <c r="N126" s="1800">
        <f>+ROUND(+G126+J126+L126,0)</f>
        <v>0</v>
      </c>
      <c r="O126" s="1893"/>
      <c r="P126" s="1798"/>
      <c r="Q126" s="1799"/>
      <c r="R126" s="1736"/>
      <c r="S126" s="2031" t="s">
        <v>124</v>
      </c>
      <c r="T126" s="2032"/>
      <c r="U126" s="2033"/>
      <c r="V126" s="1572"/>
      <c r="W126" s="1552"/>
      <c r="X126" s="1552"/>
      <c r="Y126" s="1552"/>
      <c r="Z126" s="1552"/>
    </row>
    <row r="127" spans="1:26" s="1542" customFormat="1" ht="16.5" thickBot="1">
      <c r="A127" s="1580"/>
      <c r="B127" s="1897" t="s">
        <v>134</v>
      </c>
      <c r="C127" s="1631"/>
      <c r="D127" s="1632"/>
      <c r="E127" s="1544"/>
      <c r="F127" s="1789">
        <f>+ROUND(+F122+F123+F124+F126,0)</f>
        <v>0</v>
      </c>
      <c r="G127" s="1788">
        <f>+ROUND(+G122+G123+G124+G126,0)</f>
        <v>0</v>
      </c>
      <c r="H127" s="1544"/>
      <c r="I127" s="1789">
        <f>+ROUND(+I122+I123+I124+I126,0)</f>
        <v>0</v>
      </c>
      <c r="J127" s="1788">
        <f>+ROUND(+J122+J123+J124+J126,0)</f>
        <v>0</v>
      </c>
      <c r="K127" s="1754"/>
      <c r="L127" s="1788">
        <f>+ROUND(+L122+L123+L124+L126,0)</f>
        <v>0</v>
      </c>
      <c r="M127" s="1754"/>
      <c r="N127" s="1790">
        <f>+ROUND(+N122+N123+N124+N126,0)</f>
        <v>0</v>
      </c>
      <c r="O127" s="1893"/>
      <c r="P127" s="1789">
        <f>+ROUND(+P122+P123+P124+P126,0)</f>
        <v>0</v>
      </c>
      <c r="Q127" s="1788">
        <f>+ROUND(+Q122+Q123+Q124+Q126,0)</f>
        <v>0</v>
      </c>
      <c r="R127" s="1736"/>
      <c r="S127" s="2034" t="s">
        <v>125</v>
      </c>
      <c r="T127" s="2035"/>
      <c r="U127" s="2036"/>
      <c r="V127" s="1628"/>
      <c r="W127" s="1629"/>
      <c r="X127" s="1630"/>
      <c r="Y127" s="1629"/>
      <c r="Z127" s="1629"/>
    </row>
    <row r="128" spans="1:26" s="1542" customFormat="1" ht="15.75">
      <c r="A128" s="1580"/>
      <c r="B128" s="1714" t="s">
        <v>1853</v>
      </c>
      <c r="C128" s="1581"/>
      <c r="D128" s="1582"/>
      <c r="E128" s="1617"/>
      <c r="F128" s="1764"/>
      <c r="G128" s="1763"/>
      <c r="H128" s="1544"/>
      <c r="I128" s="1764"/>
      <c r="J128" s="1763"/>
      <c r="K128" s="1754"/>
      <c r="L128" s="1763"/>
      <c r="M128" s="1754"/>
      <c r="N128" s="1765"/>
      <c r="O128" s="1893"/>
      <c r="P128" s="1764"/>
      <c r="Q128" s="1763"/>
      <c r="R128" s="1736"/>
      <c r="S128" s="1857" t="s">
        <v>1853</v>
      </c>
      <c r="T128" s="1858"/>
      <c r="U128" s="1859"/>
      <c r="V128" s="1572"/>
      <c r="W128" s="1552"/>
      <c r="X128" s="1552"/>
      <c r="Y128" s="1552"/>
      <c r="Z128" s="1552"/>
    </row>
    <row r="129" spans="1:26" s="1542" customFormat="1" ht="15.75">
      <c r="A129" s="1580"/>
      <c r="B129" s="1718" t="s">
        <v>1854</v>
      </c>
      <c r="C129" s="1596"/>
      <c r="D129" s="1597"/>
      <c r="E129" s="1544"/>
      <c r="F129" s="1753">
        <f>+IF($P$2=0,$P129,0)</f>
        <v>0</v>
      </c>
      <c r="G129" s="1781">
        <f>+IF($P$2=0,$Q129,0)</f>
        <v>0</v>
      </c>
      <c r="H129" s="1544"/>
      <c r="I129" s="1753">
        <f>+IF(OR($P$2=98,$P$2=42,$P$2=96,$P$2=97),$P129,0)</f>
        <v>0</v>
      </c>
      <c r="J129" s="1781">
        <f>+IF(OR($P$2=98,$P$2=42,$P$2=96,$P$2=97),$Q129,0)</f>
        <v>0</v>
      </c>
      <c r="K129" s="1754"/>
      <c r="L129" s="1781">
        <f>+IF($P$2=33,$Q129,0)</f>
        <v>0</v>
      </c>
      <c r="M129" s="1754"/>
      <c r="N129" s="1755">
        <f>+ROUND(+G129+J129+L129,0)</f>
        <v>0</v>
      </c>
      <c r="O129" s="1893"/>
      <c r="P129" s="1753">
        <f>+ROUND(+SUM(OTCHET!E569:E574)+SUM(OTCHET!E583:E584)+IF(AND(OTCHET!$F$12="9900",+OTCHET!$E$15=0),0,SUM(OTCHET!E589:E590)),0)</f>
        <v>0</v>
      </c>
      <c r="Q129" s="1781">
        <f>+ROUND(+SUM(OTCHET!F569:F574)+SUM(OTCHET!F583:F584)+IF(AND(OTCHET!$F$12="9900",+OTCHET!$E$15=0),0,SUM(OTCHET!F589:F590)),0)</f>
        <v>0</v>
      </c>
      <c r="R129" s="1736"/>
      <c r="S129" s="2037" t="s">
        <v>126</v>
      </c>
      <c r="T129" s="2038"/>
      <c r="U129" s="2039"/>
      <c r="V129" s="1572"/>
      <c r="W129" s="1552"/>
      <c r="X129" s="1552"/>
      <c r="Y129" s="1552"/>
      <c r="Z129" s="1552"/>
    </row>
    <row r="130" spans="1:26" s="1542" customFormat="1" ht="15.75">
      <c r="A130" s="1580"/>
      <c r="B130" s="1713" t="s">
        <v>1855</v>
      </c>
      <c r="C130" s="1587"/>
      <c r="D130" s="1588"/>
      <c r="E130" s="1544"/>
      <c r="F130" s="1787">
        <f>+IF($P$2=0,$P130,0)</f>
        <v>0</v>
      </c>
      <c r="G130" s="1786">
        <f>+IF($P$2=0,$Q130,0)</f>
        <v>-4</v>
      </c>
      <c r="H130" s="1544"/>
      <c r="I130" s="1787">
        <f>+IF(OR($P$2=98,$P$2=42,$P$2=96,$P$2=97),$P130,0)</f>
        <v>0</v>
      </c>
      <c r="J130" s="1786">
        <f>+IF(OR($P$2=98,$P$2=42,$P$2=96,$P$2=97),$Q130,0)</f>
        <v>0</v>
      </c>
      <c r="K130" s="1754"/>
      <c r="L130" s="1786">
        <f>+IF($P$2=33,$Q130,0)</f>
        <v>0</v>
      </c>
      <c r="M130" s="1754"/>
      <c r="N130" s="1757">
        <f>+ROUND(+G130+J130+L130,0)</f>
        <v>-4</v>
      </c>
      <c r="O130" s="1893"/>
      <c r="P130" s="1787">
        <f>+ROUND(OTCHET!E582+OTCHET!E587,0)</f>
        <v>0</v>
      </c>
      <c r="Q130" s="1786">
        <f>+ROUND(OTCHET!F582+OTCHET!F587,0)</f>
        <v>-4</v>
      </c>
      <c r="R130" s="1736"/>
      <c r="S130" s="2028" t="s">
        <v>127</v>
      </c>
      <c r="T130" s="2029"/>
      <c r="U130" s="2030"/>
      <c r="V130" s="1572"/>
      <c r="W130" s="1552"/>
      <c r="X130" s="1552"/>
      <c r="Y130" s="1552"/>
      <c r="Z130" s="1552"/>
    </row>
    <row r="131" spans="1:26" s="1542" customFormat="1" ht="15.75">
      <c r="A131" s="1580"/>
      <c r="B131" s="1734" t="s">
        <v>1856</v>
      </c>
      <c r="C131" s="1644"/>
      <c r="D131" s="1645"/>
      <c r="E131" s="1544"/>
      <c r="F131" s="1787">
        <f>+IF($P$2=0,$P131,0)</f>
        <v>37430800</v>
      </c>
      <c r="G131" s="1786">
        <f>+IF($P$2=0,$Q131,0)</f>
        <v>17491</v>
      </c>
      <c r="H131" s="1544"/>
      <c r="I131" s="1787">
        <f>+IF(OR($P$2=98,$P$2=42,$P$2=96,$P$2=97),$P131,0)</f>
        <v>0</v>
      </c>
      <c r="J131" s="1786">
        <f>+IF(OR($P$2=98,$P$2=42,$P$2=96,$P$2=97),$Q131,0)</f>
        <v>0</v>
      </c>
      <c r="K131" s="1754"/>
      <c r="L131" s="1786">
        <f>+IF($P$2=33,$Q131,0)</f>
        <v>0</v>
      </c>
      <c r="M131" s="1754"/>
      <c r="N131" s="1757">
        <f>+ROUND(+G131+J131+L131,0)</f>
        <v>17491</v>
      </c>
      <c r="O131" s="1893"/>
      <c r="P131" s="1787">
        <f>+ROUND(-SUM(OTCHET!E575:E580)-SUM(OTCHET!E585:E586)-IF(AND(OTCHET!$F$12="9900",+OTCHET!$E$15=0),0,SUM(OTCHET!E591:E592)),0)</f>
        <v>37430800</v>
      </c>
      <c r="Q131" s="1786">
        <f>+ROUND(-SUM(OTCHET!F575:F580)-SUM(OTCHET!F585:F586)-IF(AND(OTCHET!$F$12="9900",+OTCHET!$E$15=0),0,SUM(OTCHET!F591:F592)),0)</f>
        <v>17491</v>
      </c>
      <c r="R131" s="1736"/>
      <c r="S131" s="2046" t="s">
        <v>128</v>
      </c>
      <c r="T131" s="2047"/>
      <c r="U131" s="2048"/>
      <c r="V131" s="1572"/>
      <c r="W131" s="1552"/>
      <c r="X131" s="1552"/>
      <c r="Y131" s="1552"/>
      <c r="Z131" s="1552"/>
    </row>
    <row r="132" spans="1:26" s="1542" customFormat="1" ht="16.5" thickBot="1">
      <c r="A132" s="1580"/>
      <c r="B132" s="1735" t="s">
        <v>1857</v>
      </c>
      <c r="C132" s="1646"/>
      <c r="D132" s="1647"/>
      <c r="E132" s="1544"/>
      <c r="F132" s="1801">
        <f>+ROUND(+F131-F129-F130,0)</f>
        <v>37430800</v>
      </c>
      <c r="G132" s="1802">
        <f>+ROUND(+G131-G129-G130,0)</f>
        <v>17495</v>
      </c>
      <c r="H132" s="1544"/>
      <c r="I132" s="1801">
        <f>+ROUND(+I131-I129-I130,0)</f>
        <v>0</v>
      </c>
      <c r="J132" s="1802">
        <f>+ROUND(+J131-J129-J130,0)</f>
        <v>0</v>
      </c>
      <c r="K132" s="1754"/>
      <c r="L132" s="1802">
        <f>+ROUND(+L131-L129-L130,0)</f>
        <v>0</v>
      </c>
      <c r="M132" s="1754"/>
      <c r="N132" s="1896">
        <f>+ROUND(+N131-N129-N130,0)</f>
        <v>17495</v>
      </c>
      <c r="O132" s="1893"/>
      <c r="P132" s="1801">
        <f>+ROUND(+P131-P129-P130,0)</f>
        <v>37430800</v>
      </c>
      <c r="Q132" s="1802">
        <f>+ROUND(+Q131-Q129-Q130,0)</f>
        <v>17495</v>
      </c>
      <c r="R132" s="1736"/>
      <c r="S132" s="2040" t="s">
        <v>129</v>
      </c>
      <c r="T132" s="2041"/>
      <c r="U132" s="2042"/>
      <c r="V132" s="1628"/>
      <c r="W132" s="1629"/>
      <c r="X132" s="1630"/>
      <c r="Y132" s="1629"/>
      <c r="Z132" s="1629"/>
    </row>
    <row r="133" spans="1:26" s="1542" customFormat="1" ht="16.5" customHeight="1" thickTop="1">
      <c r="A133" s="1536"/>
      <c r="B133" s="2043">
        <f>+IF(+SUM(F133:N133)=0,0,"Контрола: дефицит/излишък = финансиране с обратен знак (Г. + Д. = 0)")</f>
        <v>0</v>
      </c>
      <c r="C133" s="2043"/>
      <c r="D133" s="2043"/>
      <c r="E133" s="1544"/>
      <c r="F133" s="1648">
        <f>+ROUND(F83,0)+ROUND(F84,0)</f>
        <v>0</v>
      </c>
      <c r="G133" s="1648">
        <f>+ROUND(G83,0)+ROUND(G84,0)</f>
        <v>0</v>
      </c>
      <c r="H133" s="1544"/>
      <c r="I133" s="1648">
        <f>+ROUND(I83,0)+ROUND(I84,0)</f>
        <v>0</v>
      </c>
      <c r="J133" s="1648">
        <f>+ROUND(J83,0)+ROUND(J84,0)</f>
        <v>0</v>
      </c>
      <c r="K133" s="1544"/>
      <c r="L133" s="1648">
        <f>+ROUND(L83,0)+ROUND(L84,0)</f>
        <v>0</v>
      </c>
      <c r="M133" s="1544"/>
      <c r="N133" s="1649">
        <f>+ROUND(N83,0)+ROUND(N84,0)</f>
        <v>0</v>
      </c>
      <c r="O133" s="1650"/>
      <c r="P133" s="1705">
        <f>+ROUND(P83,0)+ROUND(P84,0)</f>
        <v>0</v>
      </c>
      <c r="Q133" s="1705">
        <f>+ROUND(Q83,0)+ROUND(Q84,0)</f>
        <v>0</v>
      </c>
      <c r="R133" s="1736"/>
      <c r="S133" s="1803"/>
      <c r="T133" s="1803"/>
      <c r="U133" s="1803"/>
      <c r="V133" s="1628"/>
      <c r="W133" s="1629"/>
      <c r="X133" s="1630"/>
      <c r="Y133" s="1629"/>
      <c r="Z133" s="1629"/>
    </row>
    <row r="134" spans="1:26" s="1542" customFormat="1" ht="17.25" customHeight="1" hidden="1">
      <c r="A134" s="1536"/>
      <c r="B134" s="1651" t="s">
        <v>1858</v>
      </c>
      <c r="C134" s="1887">
        <f>+OTCHET!B607</f>
        <v>43190</v>
      </c>
      <c r="D134" s="1584" t="s">
        <v>1859</v>
      </c>
      <c r="E134" s="1544"/>
      <c r="F134" s="2044"/>
      <c r="G134" s="2044"/>
      <c r="H134" s="1544"/>
      <c r="I134" s="1652" t="s">
        <v>1860</v>
      </c>
      <c r="J134" s="1653"/>
      <c r="K134" s="1544"/>
      <c r="L134" s="2044"/>
      <c r="M134" s="2044"/>
      <c r="N134" s="2044"/>
      <c r="O134" s="1650"/>
      <c r="P134" s="2045"/>
      <c r="Q134" s="2045"/>
      <c r="R134" s="1701"/>
      <c r="S134" s="1804"/>
      <c r="T134" s="1804"/>
      <c r="U134" s="1804"/>
      <c r="V134" s="1654"/>
      <c r="W134" s="1629"/>
      <c r="X134" s="1630"/>
      <c r="Y134" s="1629"/>
      <c r="Z134" s="1629"/>
    </row>
    <row r="135" spans="1:26" s="1542" customFormat="1" ht="21" customHeight="1" hidden="1">
      <c r="A135" s="1536"/>
      <c r="B135" s="1651"/>
      <c r="C135" s="1584"/>
      <c r="D135" s="1584"/>
      <c r="E135" s="1544"/>
      <c r="F135" s="1655"/>
      <c r="G135" s="1655"/>
      <c r="H135" s="1544"/>
      <c r="I135" s="1652"/>
      <c r="J135" s="1653"/>
      <c r="K135" s="1544"/>
      <c r="L135" s="1655"/>
      <c r="M135" s="1655"/>
      <c r="N135" s="1655"/>
      <c r="O135" s="1650"/>
      <c r="P135" s="1706"/>
      <c r="Q135" s="1706"/>
      <c r="R135" s="1701"/>
      <c r="S135" s="1804"/>
      <c r="T135" s="1804"/>
      <c r="U135" s="1804"/>
      <c r="V135" s="1654"/>
      <c r="W135" s="1629"/>
      <c r="X135" s="1630"/>
      <c r="Y135" s="1629"/>
      <c r="Z135" s="1629"/>
    </row>
    <row r="136" spans="1:24" s="1542" customFormat="1" ht="23.25" customHeight="1" thickBot="1">
      <c r="A136" s="1654"/>
      <c r="B136" s="1654"/>
      <c r="C136" s="1654"/>
      <c r="D136" s="1654"/>
      <c r="E136" s="1656"/>
      <c r="F136" s="1656"/>
      <c r="G136" s="1656"/>
      <c r="H136" s="1656"/>
      <c r="I136" s="1656"/>
      <c r="J136" s="1656"/>
      <c r="K136" s="1656"/>
      <c r="L136" s="1656"/>
      <c r="M136" s="1656"/>
      <c r="N136" s="1656"/>
      <c r="O136" s="1654"/>
      <c r="P136" s="1707"/>
      <c r="Q136" s="1707"/>
      <c r="R136" s="1804"/>
      <c r="S136" s="1804"/>
      <c r="T136" s="1804"/>
      <c r="U136" s="1804"/>
      <c r="V136" s="1804"/>
      <c r="X136" s="1543"/>
    </row>
    <row r="137" spans="1:24" s="1542" customFormat="1" ht="15.75" customHeight="1">
      <c r="A137" s="1654"/>
      <c r="B137" s="1657" t="s">
        <v>1861</v>
      </c>
      <c r="C137" s="1658"/>
      <c r="D137" s="1659"/>
      <c r="E137" s="1656"/>
      <c r="F137" s="1805" t="str">
        <f>+IF(+ROUND(F140,2)=0,"O K","НЕРАВНЕНИЕ!")</f>
        <v>O K</v>
      </c>
      <c r="G137" s="1806" t="str">
        <f>+IF(+ROUND(G140,2)=0,"O K","НЕРАВНЕНИЕ!")</f>
        <v>O K</v>
      </c>
      <c r="H137" s="1660"/>
      <c r="I137" s="1661" t="str">
        <f>+IF(+ROUND(I140,2)=0,"O K","НЕРАВНЕНИЕ!")</f>
        <v>O K</v>
      </c>
      <c r="J137" s="1662" t="str">
        <f>+IF(+ROUND(J140,2)=0,"O K","НЕРАВНЕНИЕ!")</f>
        <v>O K</v>
      </c>
      <c r="K137" s="1663"/>
      <c r="L137" s="1664" t="str">
        <f>+IF(+ROUND(L140,2)=0,"O K","НЕРАВНЕНИЕ!")</f>
        <v>O K</v>
      </c>
      <c r="M137" s="1665"/>
      <c r="N137" s="1666" t="str">
        <f>+IF(+ROUND(N140,2)=0,"O K","НЕРАВНЕНИЕ!")</f>
        <v>O K</v>
      </c>
      <c r="O137" s="1654"/>
      <c r="P137" s="1807" t="str">
        <f>+IF(+ROUND(P140,2)=0,"O K","НЕРАВНЕНИЕ!")</f>
        <v>O K</v>
      </c>
      <c r="Q137" s="1808" t="str">
        <f>+IF(+ROUND(Q140,2)=0,"O K","НЕРАВНЕНИЕ!")</f>
        <v>O K</v>
      </c>
      <c r="R137" s="1696"/>
      <c r="S137" s="1809"/>
      <c r="T137" s="1809"/>
      <c r="U137" s="1809"/>
      <c r="V137" s="1654"/>
      <c r="X137" s="1543"/>
    </row>
    <row r="138" spans="1:24" s="1542" customFormat="1" ht="15.75" customHeight="1" thickBot="1">
      <c r="A138" s="1654"/>
      <c r="B138" s="1667" t="s">
        <v>1862</v>
      </c>
      <c r="C138" s="1668"/>
      <c r="D138" s="1669"/>
      <c r="E138" s="1656"/>
      <c r="F138" s="1810" t="str">
        <f>+IF(+ROUND(F141,0)=0,"O K","НЕРАВНЕНИЕ!")</f>
        <v>O K</v>
      </c>
      <c r="G138" s="1811" t="str">
        <f>+IF(+ROUND(G141,0)=0,"O K","НЕРАВНЕНИЕ!")</f>
        <v>O K</v>
      </c>
      <c r="H138" s="1660"/>
      <c r="I138" s="1670" t="str">
        <f>+IF(+ROUND(I141,0)=0,"O K","НЕРАВНЕНИЕ!")</f>
        <v>O K</v>
      </c>
      <c r="J138" s="1671" t="str">
        <f>+IF(+ROUND(J141,0)=0,"O K","НЕРАВНЕНИЕ!")</f>
        <v>O K</v>
      </c>
      <c r="K138" s="1663"/>
      <c r="L138" s="1672" t="str">
        <f>+IF(+ROUND(L141,0)=0,"O K","НЕРАВНЕНИЕ!")</f>
        <v>O K</v>
      </c>
      <c r="M138" s="1665"/>
      <c r="N138" s="1673" t="str">
        <f>+IF(+ROUND(N141,0)=0,"O K","НЕРАВНЕНИЕ!")</f>
        <v>O K</v>
      </c>
      <c r="O138" s="1654"/>
      <c r="P138" s="1812" t="str">
        <f>+IF(+ROUND(P141,0)=0,"O K","НЕРАВНЕНИЕ!")</f>
        <v>O K</v>
      </c>
      <c r="Q138" s="1813" t="str">
        <f>+IF(+ROUND(Q141,0)=0,"O K","НЕРАВНЕНИЕ!")</f>
        <v>O K</v>
      </c>
      <c r="R138" s="1696"/>
      <c r="S138" s="1809"/>
      <c r="T138" s="1809"/>
      <c r="U138" s="1809"/>
      <c r="V138" s="1654"/>
      <c r="X138" s="1543"/>
    </row>
    <row r="139" spans="1:24" s="1542" customFormat="1" ht="13.5" thickBot="1">
      <c r="A139" s="1654"/>
      <c r="B139" s="1654"/>
      <c r="C139" s="1654"/>
      <c r="D139" s="1654"/>
      <c r="E139" s="1656"/>
      <c r="F139" s="1665"/>
      <c r="G139" s="1665"/>
      <c r="H139" s="1665"/>
      <c r="I139" s="1674"/>
      <c r="J139" s="1665"/>
      <c r="K139" s="1665"/>
      <c r="L139" s="1674"/>
      <c r="M139" s="1665"/>
      <c r="N139" s="1665"/>
      <c r="O139" s="1654"/>
      <c r="P139" s="1707"/>
      <c r="Q139" s="1707"/>
      <c r="R139" s="1696"/>
      <c r="S139" s="1804"/>
      <c r="T139" s="1804"/>
      <c r="U139" s="1804"/>
      <c r="V139" s="1654"/>
      <c r="X139" s="1543"/>
    </row>
    <row r="140" spans="1:24" s="1542" customFormat="1" ht="15.75">
      <c r="A140" s="1654"/>
      <c r="B140" s="1657" t="s">
        <v>1863</v>
      </c>
      <c r="C140" s="1658"/>
      <c r="D140" s="1659"/>
      <c r="E140" s="1656"/>
      <c r="F140" s="1675">
        <f>+ROUND(F83,0)+ROUND(F84,0)</f>
        <v>0</v>
      </c>
      <c r="G140" s="1676">
        <f>+ROUND(G83,0)+ROUND(G84,0)</f>
        <v>0</v>
      </c>
      <c r="H140" s="1660"/>
      <c r="I140" s="1677">
        <f>+ROUND(I83,0)+ROUND(I84,0)</f>
        <v>0</v>
      </c>
      <c r="J140" s="1678">
        <f>+ROUND(J83,0)+ROUND(J84,0)</f>
        <v>0</v>
      </c>
      <c r="K140" s="1663"/>
      <c r="L140" s="1679">
        <f>+ROUND(L83,0)+ROUND(L84,0)</f>
        <v>0</v>
      </c>
      <c r="M140" s="1665"/>
      <c r="N140" s="1680">
        <f>+ROUND(N83,0)+ROUND(N84,0)</f>
        <v>0</v>
      </c>
      <c r="O140" s="1654"/>
      <c r="P140" s="1814">
        <f>+ROUND(P83,0)+ROUND(P84,0)</f>
        <v>0</v>
      </c>
      <c r="Q140" s="1815">
        <f>+ROUND(Q83,0)+ROUND(Q84,0)</f>
        <v>0</v>
      </c>
      <c r="R140" s="1696"/>
      <c r="S140" s="1804"/>
      <c r="T140" s="1804"/>
      <c r="U140" s="1804"/>
      <c r="V140" s="1654"/>
      <c r="X140" s="1543"/>
    </row>
    <row r="141" spans="1:24" s="1542" customFormat="1" ht="16.5" thickBot="1">
      <c r="A141" s="1654"/>
      <c r="B141" s="1667" t="s">
        <v>1864</v>
      </c>
      <c r="C141" s="1668"/>
      <c r="D141" s="1669"/>
      <c r="E141" s="1656"/>
      <c r="F141" s="1681">
        <f>SUM(+ROUND(F83,0)+ROUND(F101,0)+ROUND(F120,0)+ROUND(F127,0)+ROUND(F129,0)+ROUND(F130,0))-ROUND(F131,0)</f>
        <v>0</v>
      </c>
      <c r="G141" s="1682">
        <f>SUM(+ROUND(G83,0)+ROUND(G101,0)+ROUND(G120,0)+ROUND(G127,0)+ROUND(G129,0)+ROUND(G130,0))-ROUND(G131,0)</f>
        <v>0</v>
      </c>
      <c r="H141" s="1660"/>
      <c r="I141" s="1683">
        <f>SUM(+ROUND(I83,0)+ROUND(I101,0)+ROUND(I120,0)+ROUND(I127,0)+ROUND(I129,0)+ROUND(I130,0))-ROUND(I131,0)</f>
        <v>0</v>
      </c>
      <c r="J141" s="1684">
        <f>SUM(+ROUND(J83,0)+ROUND(J101,0)+ROUND(J120,0)+ROUND(J127,0)+ROUND(J129,0)+ROUND(J130,0))-ROUND(J131,0)</f>
        <v>0</v>
      </c>
      <c r="K141" s="1663"/>
      <c r="L141" s="1685">
        <f>SUM(+ROUND(L83,0)+ROUND(L101,0)+ROUND(L120,0)+ROUND(L127,0)+ROUND(L129,0)+ROUND(L130,0))-ROUND(L131,0)</f>
        <v>0</v>
      </c>
      <c r="M141" s="1665"/>
      <c r="N141" s="1686">
        <f>SUM(+ROUND(N83,0)+ROUND(N101,0)+ROUND(N120,0)+ROUND(N127,0)+ROUND(N129,0)+ROUND(N130,0))-ROUND(N131,0)</f>
        <v>0</v>
      </c>
      <c r="O141" s="1654"/>
      <c r="P141" s="1816">
        <f>SUM(+ROUND(P83,0)+ROUND(P101,0)+ROUND(P120,0)+ROUND(P127,0)+ROUND(P129,0)+ROUND(P130,0))-ROUND(P131,0)</f>
        <v>0</v>
      </c>
      <c r="Q141" s="1817">
        <f>SUM(+ROUND(Q83,0)+ROUND(Q101,0)+ROUND(Q120,0)+ROUND(Q127,0)+ROUND(Q129,0)+ROUND(Q130,0))-ROUND(Q131,0)</f>
        <v>0</v>
      </c>
      <c r="R141" s="1696"/>
      <c r="S141" s="1804"/>
      <c r="T141" s="1804"/>
      <c r="U141" s="1804"/>
      <c r="V141" s="1654"/>
      <c r="X141" s="1543"/>
    </row>
    <row r="142" spans="1:24" s="1542" customFormat="1" ht="12.75">
      <c r="A142" s="1654"/>
      <c r="B142" s="1654"/>
      <c r="C142" s="1654"/>
      <c r="D142" s="1654"/>
      <c r="E142" s="1654"/>
      <c r="F142" s="1656"/>
      <c r="G142" s="1656"/>
      <c r="H142" s="1656"/>
      <c r="I142" s="1656"/>
      <c r="J142" s="1656"/>
      <c r="K142" s="1656"/>
      <c r="L142" s="1656"/>
      <c r="M142" s="1656"/>
      <c r="N142" s="1656"/>
      <c r="O142" s="1654"/>
      <c r="P142" s="1707"/>
      <c r="Q142" s="1707"/>
      <c r="R142" s="1696"/>
      <c r="S142" s="1804"/>
      <c r="T142" s="1804"/>
      <c r="U142" s="1804"/>
      <c r="V142" s="1654"/>
      <c r="X142" s="1543"/>
    </row>
    <row r="143" spans="1:24" s="1542" customFormat="1" ht="12.75">
      <c r="A143" s="1654"/>
      <c r="B143" s="1654"/>
      <c r="C143" s="1654"/>
      <c r="D143" s="1654"/>
      <c r="E143" s="1656"/>
      <c r="F143" s="1656"/>
      <c r="G143" s="1656"/>
      <c r="H143" s="1656"/>
      <c r="I143" s="1656"/>
      <c r="J143" s="1656"/>
      <c r="K143" s="1656"/>
      <c r="L143" s="1656"/>
      <c r="M143" s="1656"/>
      <c r="N143" s="1656"/>
      <c r="O143" s="1654"/>
      <c r="P143" s="1707"/>
      <c r="Q143" s="1707"/>
      <c r="R143" s="1696"/>
      <c r="S143" s="1804"/>
      <c r="T143" s="1804"/>
      <c r="U143" s="1804"/>
      <c r="V143" s="1654"/>
      <c r="X143" s="1543"/>
    </row>
    <row r="144" spans="1:24" s="1542" customFormat="1" ht="12.75">
      <c r="A144" s="1654"/>
      <c r="B144" s="1654"/>
      <c r="C144" s="1654"/>
      <c r="D144" s="1654"/>
      <c r="E144" s="1656"/>
      <c r="F144" s="1656"/>
      <c r="G144" s="1656"/>
      <c r="H144" s="1656"/>
      <c r="I144" s="1656"/>
      <c r="J144" s="1656"/>
      <c r="K144" s="1656"/>
      <c r="L144" s="1656"/>
      <c r="M144" s="1656"/>
      <c r="N144" s="1656"/>
      <c r="O144" s="1654"/>
      <c r="P144" s="1707"/>
      <c r="Q144" s="1707"/>
      <c r="R144" s="1696"/>
      <c r="S144" s="1804"/>
      <c r="T144" s="1804"/>
      <c r="U144" s="1804"/>
      <c r="V144" s="1654"/>
      <c r="X144" s="1543"/>
    </row>
    <row r="145" spans="1:24" s="1542" customFormat="1" ht="12.75">
      <c r="A145" s="1654"/>
      <c r="B145" s="1654"/>
      <c r="C145" s="1654"/>
      <c r="D145" s="1654"/>
      <c r="E145" s="1656"/>
      <c r="F145" s="1656"/>
      <c r="G145" s="1656"/>
      <c r="H145" s="1656"/>
      <c r="I145" s="1656"/>
      <c r="J145" s="1656"/>
      <c r="K145" s="1656"/>
      <c r="L145" s="1656"/>
      <c r="M145" s="1656"/>
      <c r="N145" s="1656"/>
      <c r="O145" s="1654"/>
      <c r="P145" s="1707"/>
      <c r="Q145" s="1707"/>
      <c r="R145" s="1696"/>
      <c r="S145" s="1804"/>
      <c r="T145" s="1804"/>
      <c r="U145" s="1804"/>
      <c r="V145" s="1654"/>
      <c r="X145" s="1543"/>
    </row>
    <row r="146" spans="1:24" s="1542" customFormat="1" ht="12.75">
      <c r="A146" s="1654"/>
      <c r="B146" s="1654"/>
      <c r="C146" s="1654"/>
      <c r="D146" s="1654"/>
      <c r="E146" s="1656"/>
      <c r="F146" s="1656"/>
      <c r="G146" s="1656"/>
      <c r="H146" s="1656"/>
      <c r="I146" s="1656"/>
      <c r="J146" s="1656"/>
      <c r="K146" s="1656"/>
      <c r="L146" s="1656"/>
      <c r="M146" s="1656"/>
      <c r="N146" s="1656"/>
      <c r="O146" s="1654"/>
      <c r="P146" s="1707"/>
      <c r="Q146" s="1707"/>
      <c r="R146" s="1696"/>
      <c r="S146" s="1804"/>
      <c r="T146" s="1804"/>
      <c r="U146" s="1804"/>
      <c r="V146" s="1654"/>
      <c r="X146" s="1543"/>
    </row>
    <row r="147" spans="1:24" s="1542" customFormat="1" ht="12.75">
      <c r="A147" s="1654"/>
      <c r="B147" s="1654"/>
      <c r="C147" s="1654"/>
      <c r="D147" s="1654"/>
      <c r="E147" s="1656"/>
      <c r="F147" s="1656"/>
      <c r="G147" s="1656"/>
      <c r="H147" s="1656"/>
      <c r="I147" s="1656"/>
      <c r="J147" s="1656"/>
      <c r="K147" s="1656"/>
      <c r="L147" s="1656"/>
      <c r="M147" s="1656"/>
      <c r="N147" s="1656"/>
      <c r="O147" s="1654"/>
      <c r="P147" s="1707"/>
      <c r="Q147" s="1707"/>
      <c r="R147" s="1696"/>
      <c r="S147" s="1804"/>
      <c r="T147" s="1804"/>
      <c r="U147" s="1804"/>
      <c r="V147" s="1654"/>
      <c r="X147" s="1543"/>
    </row>
    <row r="148" spans="1:24" s="1542" customFormat="1" ht="12.75">
      <c r="A148" s="1654"/>
      <c r="B148" s="1654"/>
      <c r="C148" s="1654"/>
      <c r="D148" s="1654"/>
      <c r="E148" s="1656"/>
      <c r="F148" s="1656"/>
      <c r="G148" s="1656"/>
      <c r="H148" s="1656"/>
      <c r="I148" s="1656"/>
      <c r="J148" s="1656"/>
      <c r="K148" s="1656"/>
      <c r="L148" s="1656"/>
      <c r="M148" s="1656"/>
      <c r="N148" s="1656"/>
      <c r="O148" s="1654"/>
      <c r="P148" s="1707"/>
      <c r="Q148" s="1707"/>
      <c r="R148" s="1696"/>
      <c r="S148" s="1804"/>
      <c r="T148" s="1804"/>
      <c r="U148" s="1804"/>
      <c r="V148" s="1654"/>
      <c r="X148" s="1543"/>
    </row>
    <row r="149" spans="1:24" s="1542" customFormat="1" ht="12.75">
      <c r="A149" s="1654"/>
      <c r="B149" s="1654"/>
      <c r="C149" s="1654"/>
      <c r="D149" s="1654"/>
      <c r="E149" s="1656"/>
      <c r="F149" s="1656"/>
      <c r="G149" s="1656"/>
      <c r="H149" s="1656"/>
      <c r="I149" s="1656"/>
      <c r="J149" s="1656"/>
      <c r="K149" s="1656"/>
      <c r="L149" s="1656"/>
      <c r="M149" s="1656"/>
      <c r="N149" s="1656"/>
      <c r="O149" s="1654"/>
      <c r="P149" s="1707"/>
      <c r="Q149" s="1707"/>
      <c r="R149" s="1696"/>
      <c r="S149" s="1804"/>
      <c r="T149" s="1804"/>
      <c r="U149" s="1804"/>
      <c r="V149" s="1654"/>
      <c r="X149" s="1543"/>
    </row>
    <row r="150" spans="1:24" s="1542" customFormat="1" ht="12.75">
      <c r="A150" s="1654"/>
      <c r="B150" s="1654"/>
      <c r="C150" s="1654"/>
      <c r="D150" s="1654"/>
      <c r="E150" s="1656"/>
      <c r="F150" s="1656"/>
      <c r="G150" s="1656"/>
      <c r="H150" s="1656"/>
      <c r="I150" s="1656"/>
      <c r="J150" s="1656"/>
      <c r="K150" s="1656"/>
      <c r="L150" s="1656"/>
      <c r="M150" s="1656"/>
      <c r="N150" s="1656"/>
      <c r="O150" s="1654"/>
      <c r="P150" s="1707"/>
      <c r="Q150" s="1707"/>
      <c r="R150" s="1696"/>
      <c r="S150" s="1804"/>
      <c r="T150" s="1804"/>
      <c r="U150" s="1804"/>
      <c r="V150" s="1654"/>
      <c r="X150" s="1543"/>
    </row>
    <row r="151" spans="1:24" s="1542" customFormat="1" ht="12.75">
      <c r="A151" s="1654"/>
      <c r="B151" s="1654"/>
      <c r="C151" s="1654"/>
      <c r="D151" s="1654"/>
      <c r="E151" s="1656"/>
      <c r="F151" s="1656"/>
      <c r="G151" s="1656"/>
      <c r="H151" s="1656"/>
      <c r="I151" s="1656"/>
      <c r="J151" s="1656"/>
      <c r="K151" s="1656"/>
      <c r="L151" s="1656"/>
      <c r="M151" s="1656"/>
      <c r="N151" s="1656"/>
      <c r="O151" s="1654"/>
      <c r="P151" s="1707"/>
      <c r="Q151" s="1707"/>
      <c r="R151" s="1696"/>
      <c r="S151" s="1804"/>
      <c r="T151" s="1804"/>
      <c r="U151" s="1804"/>
      <c r="V151" s="1654"/>
      <c r="X151" s="1543"/>
    </row>
    <row r="152" spans="1:24" s="1542" customFormat="1" ht="12.75">
      <c r="A152" s="1654"/>
      <c r="B152" s="1654"/>
      <c r="C152" s="1654"/>
      <c r="D152" s="1654"/>
      <c r="E152" s="1656"/>
      <c r="F152" s="1656"/>
      <c r="G152" s="1656"/>
      <c r="H152" s="1656"/>
      <c r="I152" s="1656"/>
      <c r="J152" s="1656"/>
      <c r="K152" s="1656"/>
      <c r="L152" s="1656"/>
      <c r="M152" s="1656"/>
      <c r="N152" s="1656"/>
      <c r="O152" s="1654"/>
      <c r="P152" s="1707"/>
      <c r="Q152" s="1707"/>
      <c r="R152" s="1696"/>
      <c r="S152" s="1804"/>
      <c r="T152" s="1804"/>
      <c r="U152" s="1804"/>
      <c r="V152" s="1654"/>
      <c r="X152" s="1543"/>
    </row>
    <row r="153" spans="1:24" s="1542" customFormat="1" ht="12.75">
      <c r="A153" s="1654"/>
      <c r="B153" s="1654"/>
      <c r="C153" s="1654"/>
      <c r="D153" s="1654"/>
      <c r="E153" s="1656"/>
      <c r="F153" s="1656"/>
      <c r="G153" s="1656"/>
      <c r="H153" s="1656"/>
      <c r="I153" s="1656"/>
      <c r="J153" s="1656"/>
      <c r="K153" s="1656"/>
      <c r="L153" s="1656"/>
      <c r="M153" s="1656"/>
      <c r="N153" s="1656"/>
      <c r="O153" s="1654"/>
      <c r="P153" s="1707"/>
      <c r="Q153" s="1707"/>
      <c r="R153" s="1696"/>
      <c r="S153" s="1804"/>
      <c r="T153" s="1804"/>
      <c r="U153" s="1804"/>
      <c r="V153" s="1654"/>
      <c r="X153" s="1543"/>
    </row>
    <row r="154" spans="1:24" s="1542" customFormat="1" ht="12.75">
      <c r="A154" s="1654"/>
      <c r="B154" s="1654"/>
      <c r="C154" s="1654"/>
      <c r="D154" s="1654"/>
      <c r="E154" s="1656"/>
      <c r="F154" s="1656"/>
      <c r="G154" s="1656"/>
      <c r="H154" s="1656"/>
      <c r="I154" s="1656"/>
      <c r="J154" s="1656"/>
      <c r="K154" s="1656"/>
      <c r="L154" s="1656"/>
      <c r="M154" s="1656"/>
      <c r="N154" s="1656"/>
      <c r="O154" s="1654"/>
      <c r="P154" s="1707"/>
      <c r="Q154" s="1707"/>
      <c r="R154" s="1696"/>
      <c r="S154" s="1804"/>
      <c r="T154" s="1804"/>
      <c r="U154" s="1804"/>
      <c r="V154" s="1654"/>
      <c r="X154" s="1543"/>
    </row>
    <row r="155" spans="1:24" s="1542" customFormat="1" ht="12.75">
      <c r="A155" s="1654"/>
      <c r="B155" s="1654"/>
      <c r="C155" s="1654"/>
      <c r="D155" s="1654"/>
      <c r="E155" s="1656"/>
      <c r="F155" s="1656"/>
      <c r="G155" s="1656"/>
      <c r="H155" s="1656"/>
      <c r="I155" s="1656"/>
      <c r="J155" s="1656"/>
      <c r="K155" s="1656"/>
      <c r="L155" s="1656"/>
      <c r="M155" s="1656"/>
      <c r="N155" s="1656"/>
      <c r="O155" s="1654"/>
      <c r="P155" s="1707"/>
      <c r="Q155" s="1707"/>
      <c r="R155" s="1696"/>
      <c r="S155" s="1804"/>
      <c r="T155" s="1804"/>
      <c r="U155" s="1804"/>
      <c r="V155" s="1654"/>
      <c r="X155" s="1543"/>
    </row>
    <row r="156" spans="1:24" s="1542" customFormat="1" ht="12.75">
      <c r="A156" s="1654"/>
      <c r="B156" s="1654"/>
      <c r="C156" s="1654"/>
      <c r="D156" s="1654"/>
      <c r="E156" s="1656"/>
      <c r="F156" s="1656"/>
      <c r="G156" s="1656"/>
      <c r="H156" s="1656"/>
      <c r="I156" s="1656"/>
      <c r="J156" s="1656"/>
      <c r="K156" s="1656"/>
      <c r="L156" s="1656"/>
      <c r="M156" s="1656"/>
      <c r="N156" s="1656"/>
      <c r="O156" s="1654"/>
      <c r="P156" s="1707"/>
      <c r="Q156" s="1707"/>
      <c r="R156" s="1696"/>
      <c r="S156" s="1804"/>
      <c r="T156" s="1804"/>
      <c r="U156" s="1804"/>
      <c r="V156" s="1654"/>
      <c r="X156" s="1543"/>
    </row>
    <row r="157" spans="1:24" s="1542" customFormat="1" ht="12.75">
      <c r="A157" s="1654"/>
      <c r="B157" s="1654"/>
      <c r="C157" s="1654"/>
      <c r="D157" s="1654"/>
      <c r="E157" s="1656"/>
      <c r="F157" s="1656"/>
      <c r="G157" s="1656"/>
      <c r="H157" s="1656"/>
      <c r="I157" s="1656"/>
      <c r="J157" s="1656"/>
      <c r="K157" s="1656"/>
      <c r="L157" s="1656"/>
      <c r="M157" s="1656"/>
      <c r="N157" s="1656"/>
      <c r="O157" s="1654"/>
      <c r="P157" s="1707"/>
      <c r="Q157" s="1707"/>
      <c r="R157" s="1696"/>
      <c r="S157" s="1804"/>
      <c r="T157" s="1804"/>
      <c r="U157" s="1804"/>
      <c r="V157" s="1654"/>
      <c r="X157" s="1543"/>
    </row>
    <row r="158" spans="1:24" s="1542" customFormat="1" ht="12.75">
      <c r="A158" s="1654"/>
      <c r="B158" s="1654"/>
      <c r="C158" s="1654"/>
      <c r="D158" s="1654"/>
      <c r="E158" s="1656"/>
      <c r="F158" s="1656"/>
      <c r="G158" s="1656"/>
      <c r="H158" s="1656"/>
      <c r="I158" s="1656"/>
      <c r="J158" s="1656"/>
      <c r="K158" s="1656"/>
      <c r="L158" s="1656"/>
      <c r="M158" s="1656"/>
      <c r="N158" s="1656"/>
      <c r="O158" s="1654"/>
      <c r="P158" s="1707"/>
      <c r="Q158" s="1707"/>
      <c r="R158" s="1696"/>
      <c r="S158" s="1804"/>
      <c r="T158" s="1804"/>
      <c r="U158" s="1804"/>
      <c r="V158" s="1654"/>
      <c r="X158" s="1543"/>
    </row>
    <row r="159" spans="1:24" s="1542" customFormat="1" ht="12.75">
      <c r="A159" s="1654"/>
      <c r="B159" s="1654"/>
      <c r="C159" s="1654"/>
      <c r="D159" s="1654"/>
      <c r="E159" s="1656"/>
      <c r="F159" s="1656"/>
      <c r="G159" s="1656"/>
      <c r="H159" s="1656"/>
      <c r="I159" s="1656"/>
      <c r="J159" s="1656"/>
      <c r="K159" s="1656"/>
      <c r="L159" s="1656"/>
      <c r="M159" s="1656"/>
      <c r="N159" s="1656"/>
      <c r="O159" s="1654"/>
      <c r="P159" s="1707"/>
      <c r="Q159" s="1707"/>
      <c r="R159" s="1696"/>
      <c r="S159" s="1804"/>
      <c r="T159" s="1804"/>
      <c r="U159" s="1804"/>
      <c r="V159" s="1654"/>
      <c r="X159" s="1543"/>
    </row>
    <row r="160" spans="1:24" s="1542" customFormat="1" ht="12.75">
      <c r="A160" s="1654"/>
      <c r="B160" s="1654"/>
      <c r="C160" s="1654"/>
      <c r="D160" s="1654"/>
      <c r="E160" s="1656"/>
      <c r="F160" s="1656"/>
      <c r="G160" s="1656"/>
      <c r="H160" s="1656"/>
      <c r="I160" s="1656"/>
      <c r="J160" s="1656"/>
      <c r="K160" s="1656"/>
      <c r="L160" s="1656"/>
      <c r="M160" s="1656"/>
      <c r="N160" s="1656"/>
      <c r="O160" s="1654"/>
      <c r="P160" s="1707"/>
      <c r="Q160" s="1707"/>
      <c r="R160" s="1696"/>
      <c r="S160" s="1804"/>
      <c r="T160" s="1804"/>
      <c r="U160" s="1804"/>
      <c r="V160" s="1654"/>
      <c r="X160" s="1543"/>
    </row>
    <row r="161" spans="1:24" s="1542" customFormat="1" ht="12.75">
      <c r="A161" s="1654"/>
      <c r="B161" s="1654"/>
      <c r="C161" s="1654"/>
      <c r="D161" s="1654"/>
      <c r="E161" s="1656"/>
      <c r="F161" s="1656"/>
      <c r="G161" s="1656"/>
      <c r="H161" s="1656"/>
      <c r="I161" s="1656"/>
      <c r="J161" s="1656"/>
      <c r="K161" s="1656"/>
      <c r="L161" s="1656"/>
      <c r="M161" s="1656"/>
      <c r="N161" s="1656"/>
      <c r="O161" s="1654"/>
      <c r="P161" s="1707"/>
      <c r="Q161" s="1707"/>
      <c r="R161" s="1696"/>
      <c r="S161" s="1804"/>
      <c r="T161" s="1804"/>
      <c r="U161" s="1804"/>
      <c r="V161" s="1654"/>
      <c r="X161" s="1543"/>
    </row>
    <row r="162" spans="1:24" s="1542" customFormat="1" ht="12.75">
      <c r="A162" s="1654"/>
      <c r="B162" s="1654"/>
      <c r="C162" s="1654"/>
      <c r="D162" s="1654"/>
      <c r="E162" s="1656"/>
      <c r="F162" s="1656"/>
      <c r="G162" s="1656"/>
      <c r="H162" s="1656"/>
      <c r="I162" s="1656"/>
      <c r="J162" s="1656"/>
      <c r="K162" s="1656"/>
      <c r="L162" s="1656"/>
      <c r="M162" s="1656"/>
      <c r="N162" s="1656"/>
      <c r="O162" s="1654"/>
      <c r="P162" s="1707"/>
      <c r="Q162" s="1707"/>
      <c r="R162" s="1696"/>
      <c r="S162" s="1804"/>
      <c r="T162" s="1804"/>
      <c r="U162" s="1804"/>
      <c r="V162" s="1654"/>
      <c r="X162" s="1543"/>
    </row>
    <row r="163" spans="1:24" s="1542" customFormat="1" ht="12.75">
      <c r="A163" s="1654"/>
      <c r="B163" s="1654"/>
      <c r="C163" s="1654"/>
      <c r="D163" s="1654"/>
      <c r="E163" s="1656"/>
      <c r="F163" s="1656"/>
      <c r="G163" s="1656"/>
      <c r="H163" s="1656"/>
      <c r="I163" s="1656"/>
      <c r="J163" s="1656"/>
      <c r="K163" s="1656"/>
      <c r="L163" s="1656"/>
      <c r="M163" s="1656"/>
      <c r="N163" s="1656"/>
      <c r="O163" s="1654"/>
      <c r="P163" s="1707"/>
      <c r="Q163" s="1707"/>
      <c r="R163" s="1696"/>
      <c r="S163" s="1804"/>
      <c r="T163" s="1804"/>
      <c r="U163" s="1804"/>
      <c r="V163" s="1654"/>
      <c r="X163" s="1543"/>
    </row>
    <row r="164" spans="1:24" s="1542" customFormat="1" ht="12.75">
      <c r="A164" s="1654"/>
      <c r="B164" s="1654"/>
      <c r="C164" s="1654"/>
      <c r="D164" s="1654"/>
      <c r="E164" s="1656"/>
      <c r="F164" s="1656"/>
      <c r="G164" s="1656"/>
      <c r="H164" s="1656"/>
      <c r="I164" s="1656"/>
      <c r="J164" s="1656"/>
      <c r="K164" s="1656"/>
      <c r="L164" s="1656"/>
      <c r="M164" s="1656"/>
      <c r="N164" s="1656"/>
      <c r="O164" s="1654"/>
      <c r="P164" s="1707"/>
      <c r="Q164" s="1707"/>
      <c r="R164" s="1696"/>
      <c r="S164" s="1804"/>
      <c r="T164" s="1804"/>
      <c r="U164" s="1804"/>
      <c r="V164" s="1654"/>
      <c r="X164" s="1543"/>
    </row>
    <row r="165" spans="1:24" s="1542" customFormat="1" ht="12.75">
      <c r="A165" s="1654"/>
      <c r="B165" s="1654"/>
      <c r="C165" s="1654"/>
      <c r="D165" s="1654"/>
      <c r="E165" s="1656"/>
      <c r="F165" s="1656"/>
      <c r="G165" s="1656"/>
      <c r="H165" s="1656"/>
      <c r="I165" s="1656"/>
      <c r="J165" s="1656"/>
      <c r="K165" s="1656"/>
      <c r="L165" s="1656"/>
      <c r="M165" s="1656"/>
      <c r="N165" s="1656"/>
      <c r="O165" s="1654"/>
      <c r="P165" s="1707"/>
      <c r="Q165" s="1707"/>
      <c r="R165" s="1696"/>
      <c r="S165" s="1804"/>
      <c r="T165" s="1804"/>
      <c r="U165" s="1804"/>
      <c r="V165" s="1654"/>
      <c r="X165" s="1543"/>
    </row>
    <row r="166" spans="1:24" s="1542" customFormat="1" ht="12.75">
      <c r="A166" s="1654"/>
      <c r="B166" s="1654"/>
      <c r="C166" s="1654"/>
      <c r="D166" s="1654"/>
      <c r="E166" s="1656"/>
      <c r="F166" s="1656"/>
      <c r="G166" s="1656"/>
      <c r="H166" s="1656"/>
      <c r="I166" s="1656"/>
      <c r="J166" s="1656"/>
      <c r="K166" s="1656"/>
      <c r="L166" s="1656"/>
      <c r="M166" s="1656"/>
      <c r="N166" s="1656"/>
      <c r="O166" s="1654"/>
      <c r="P166" s="1707"/>
      <c r="Q166" s="1707"/>
      <c r="R166" s="1696"/>
      <c r="S166" s="1804"/>
      <c r="T166" s="1804"/>
      <c r="U166" s="1804"/>
      <c r="V166" s="1654"/>
      <c r="X166" s="1543"/>
    </row>
    <row r="167" spans="1:24" s="1542" customFormat="1" ht="12.75">
      <c r="A167" s="1654"/>
      <c r="B167" s="1654"/>
      <c r="C167" s="1654"/>
      <c r="D167" s="1654"/>
      <c r="E167" s="1656"/>
      <c r="F167" s="1656"/>
      <c r="G167" s="1656"/>
      <c r="H167" s="1656"/>
      <c r="I167" s="1656"/>
      <c r="J167" s="1656"/>
      <c r="K167" s="1656"/>
      <c r="L167" s="1656"/>
      <c r="M167" s="1656"/>
      <c r="N167" s="1656"/>
      <c r="O167" s="1654"/>
      <c r="P167" s="1707"/>
      <c r="Q167" s="1707"/>
      <c r="R167" s="1696"/>
      <c r="S167" s="1804"/>
      <c r="T167" s="1804"/>
      <c r="U167" s="1804"/>
      <c r="V167" s="1654"/>
      <c r="X167" s="1543"/>
    </row>
    <row r="168" spans="1:24" s="1542" customFormat="1" ht="12.75">
      <c r="A168" s="1654"/>
      <c r="B168" s="1654"/>
      <c r="C168" s="1654"/>
      <c r="D168" s="1654"/>
      <c r="E168" s="1656"/>
      <c r="F168" s="1656"/>
      <c r="G168" s="1656"/>
      <c r="H168" s="1656"/>
      <c r="I168" s="1656"/>
      <c r="J168" s="1656"/>
      <c r="K168" s="1656"/>
      <c r="L168" s="1656"/>
      <c r="M168" s="1656"/>
      <c r="N168" s="1656"/>
      <c r="O168" s="1654"/>
      <c r="P168" s="1707"/>
      <c r="Q168" s="1707"/>
      <c r="R168" s="1696"/>
      <c r="S168" s="1804"/>
      <c r="T168" s="1804"/>
      <c r="U168" s="1804"/>
      <c r="V168" s="1654"/>
      <c r="X168" s="1543"/>
    </row>
    <row r="169" spans="1:24" s="1542" customFormat="1" ht="12.75">
      <c r="A169" s="1654"/>
      <c r="B169" s="1654"/>
      <c r="C169" s="1654"/>
      <c r="D169" s="1654"/>
      <c r="E169" s="1656"/>
      <c r="F169" s="1656"/>
      <c r="G169" s="1656"/>
      <c r="H169" s="1656"/>
      <c r="I169" s="1656"/>
      <c r="J169" s="1656"/>
      <c r="K169" s="1656"/>
      <c r="L169" s="1656"/>
      <c r="M169" s="1656"/>
      <c r="N169" s="1656"/>
      <c r="O169" s="1654"/>
      <c r="P169" s="1707"/>
      <c r="Q169" s="1707"/>
      <c r="R169" s="1696"/>
      <c r="S169" s="1804"/>
      <c r="T169" s="1804"/>
      <c r="U169" s="1804"/>
      <c r="V169" s="1654"/>
      <c r="X169" s="1543"/>
    </row>
    <row r="170" spans="1:24" s="1542" customFormat="1" ht="12.75">
      <c r="A170" s="1654"/>
      <c r="B170" s="1654"/>
      <c r="C170" s="1654"/>
      <c r="D170" s="1654"/>
      <c r="E170" s="1656"/>
      <c r="F170" s="1656"/>
      <c r="G170" s="1656"/>
      <c r="H170" s="1656"/>
      <c r="I170" s="1656"/>
      <c r="J170" s="1656"/>
      <c r="K170" s="1656"/>
      <c r="L170" s="1656"/>
      <c r="M170" s="1656"/>
      <c r="N170" s="1656"/>
      <c r="O170" s="1654"/>
      <c r="P170" s="1707"/>
      <c r="Q170" s="1707"/>
      <c r="R170" s="1696"/>
      <c r="S170" s="1804"/>
      <c r="T170" s="1804"/>
      <c r="U170" s="1804"/>
      <c r="V170" s="1654"/>
      <c r="X170" s="1543"/>
    </row>
    <row r="171" spans="1:24" s="1542" customFormat="1" ht="12.75">
      <c r="A171" s="1654"/>
      <c r="B171" s="1654"/>
      <c r="C171" s="1654"/>
      <c r="D171" s="1654"/>
      <c r="E171" s="1656"/>
      <c r="F171" s="1656"/>
      <c r="G171" s="1656"/>
      <c r="H171" s="1656"/>
      <c r="I171" s="1656"/>
      <c r="J171" s="1656"/>
      <c r="K171" s="1656"/>
      <c r="L171" s="1656"/>
      <c r="M171" s="1656"/>
      <c r="N171" s="1656"/>
      <c r="O171" s="1654"/>
      <c r="P171" s="1707"/>
      <c r="Q171" s="1707"/>
      <c r="R171" s="1696"/>
      <c r="S171" s="1804"/>
      <c r="T171" s="1804"/>
      <c r="U171" s="1804"/>
      <c r="V171" s="1654"/>
      <c r="X171" s="1543"/>
    </row>
    <row r="172" spans="1:24" s="1542" customFormat="1" ht="12.75">
      <c r="A172" s="1654"/>
      <c r="B172" s="1654"/>
      <c r="C172" s="1654"/>
      <c r="D172" s="1654"/>
      <c r="E172" s="1656"/>
      <c r="F172" s="1656"/>
      <c r="G172" s="1656"/>
      <c r="H172" s="1656"/>
      <c r="I172" s="1656"/>
      <c r="J172" s="1656"/>
      <c r="K172" s="1656"/>
      <c r="L172" s="1656"/>
      <c r="M172" s="1656"/>
      <c r="N172" s="1656"/>
      <c r="O172" s="1654"/>
      <c r="P172" s="1707"/>
      <c r="Q172" s="1707"/>
      <c r="R172" s="1696"/>
      <c r="S172" s="1804"/>
      <c r="T172" s="1804"/>
      <c r="U172" s="1804"/>
      <c r="V172" s="1654"/>
      <c r="X172" s="1543"/>
    </row>
    <row r="173" spans="1:24" s="1542" customFormat="1" ht="12.75">
      <c r="A173" s="1654"/>
      <c r="B173" s="1654"/>
      <c r="C173" s="1654"/>
      <c r="D173" s="1654"/>
      <c r="E173" s="1656"/>
      <c r="F173" s="1656"/>
      <c r="G173" s="1656"/>
      <c r="H173" s="1656"/>
      <c r="I173" s="1656"/>
      <c r="J173" s="1656"/>
      <c r="K173" s="1656"/>
      <c r="L173" s="1656"/>
      <c r="M173" s="1656"/>
      <c r="N173" s="1656"/>
      <c r="O173" s="1654"/>
      <c r="P173" s="1707"/>
      <c r="Q173" s="1707"/>
      <c r="R173" s="1696"/>
      <c r="S173" s="1804"/>
      <c r="T173" s="1804"/>
      <c r="U173" s="1804"/>
      <c r="V173" s="1654"/>
      <c r="X173" s="1543"/>
    </row>
    <row r="174" spans="1:24" s="1542" customFormat="1" ht="12.75">
      <c r="A174" s="1654"/>
      <c r="B174" s="1654"/>
      <c r="C174" s="1654"/>
      <c r="D174" s="1654"/>
      <c r="E174" s="1656"/>
      <c r="F174" s="1656"/>
      <c r="G174" s="1656"/>
      <c r="H174" s="1656"/>
      <c r="I174" s="1656"/>
      <c r="J174" s="1656"/>
      <c r="K174" s="1656"/>
      <c r="L174" s="1656"/>
      <c r="M174" s="1656"/>
      <c r="N174" s="1656"/>
      <c r="O174" s="1654"/>
      <c r="P174" s="1707"/>
      <c r="Q174" s="1707"/>
      <c r="R174" s="1696"/>
      <c r="S174" s="1804"/>
      <c r="T174" s="1804"/>
      <c r="U174" s="1804"/>
      <c r="V174" s="1654"/>
      <c r="X174" s="1543"/>
    </row>
    <row r="175" spans="1:24" s="1542" customFormat="1" ht="12.75">
      <c r="A175" s="1654"/>
      <c r="B175" s="1654"/>
      <c r="C175" s="1654"/>
      <c r="D175" s="1654"/>
      <c r="E175" s="1656"/>
      <c r="F175" s="1656"/>
      <c r="G175" s="1656"/>
      <c r="H175" s="1656"/>
      <c r="I175" s="1656"/>
      <c r="J175" s="1656"/>
      <c r="K175" s="1656"/>
      <c r="L175" s="1656"/>
      <c r="M175" s="1656"/>
      <c r="N175" s="1656"/>
      <c r="O175" s="1654"/>
      <c r="P175" s="1707"/>
      <c r="Q175" s="1707"/>
      <c r="R175" s="1696"/>
      <c r="S175" s="1804"/>
      <c r="T175" s="1804"/>
      <c r="U175" s="1804"/>
      <c r="V175" s="1654"/>
      <c r="X175" s="1543"/>
    </row>
    <row r="176" spans="1:24" s="1542" customFormat="1" ht="12.75">
      <c r="A176" s="1654"/>
      <c r="B176" s="1654"/>
      <c r="C176" s="1654"/>
      <c r="D176" s="1654"/>
      <c r="E176" s="1656"/>
      <c r="F176" s="1656"/>
      <c r="G176" s="1656"/>
      <c r="H176" s="1656"/>
      <c r="I176" s="1656"/>
      <c r="J176" s="1656"/>
      <c r="K176" s="1656"/>
      <c r="L176" s="1656"/>
      <c r="M176" s="1656"/>
      <c r="N176" s="1656"/>
      <c r="O176" s="1654"/>
      <c r="P176" s="1707"/>
      <c r="Q176" s="1707"/>
      <c r="R176" s="1696"/>
      <c r="S176" s="1804"/>
      <c r="T176" s="1804"/>
      <c r="U176" s="1804"/>
      <c r="V176" s="1654"/>
      <c r="X176" s="1543"/>
    </row>
    <row r="177" spans="1:24" s="1542" customFormat="1" ht="12.75">
      <c r="A177" s="1654"/>
      <c r="B177" s="1654"/>
      <c r="C177" s="1654"/>
      <c r="D177" s="1654"/>
      <c r="E177" s="1656"/>
      <c r="F177" s="1656"/>
      <c r="G177" s="1656"/>
      <c r="H177" s="1656"/>
      <c r="I177" s="1656"/>
      <c r="J177" s="1656"/>
      <c r="K177" s="1656"/>
      <c r="L177" s="1656"/>
      <c r="M177" s="1656"/>
      <c r="N177" s="1656"/>
      <c r="O177" s="1654"/>
      <c r="P177" s="1707"/>
      <c r="Q177" s="1707"/>
      <c r="R177" s="1696"/>
      <c r="S177" s="1804"/>
      <c r="T177" s="1804"/>
      <c r="U177" s="1804"/>
      <c r="V177" s="1654"/>
      <c r="X177" s="1543"/>
    </row>
    <row r="178" spans="1:24" s="1542" customFormat="1" ht="12.75">
      <c r="A178" s="1654"/>
      <c r="B178" s="1654"/>
      <c r="C178" s="1654"/>
      <c r="D178" s="1654"/>
      <c r="E178" s="1656"/>
      <c r="F178" s="1656"/>
      <c r="G178" s="1656"/>
      <c r="H178" s="1656"/>
      <c r="I178" s="1656"/>
      <c r="J178" s="1656"/>
      <c r="K178" s="1656"/>
      <c r="L178" s="1656"/>
      <c r="M178" s="1656"/>
      <c r="N178" s="1656"/>
      <c r="O178" s="1654"/>
      <c r="P178" s="1707"/>
      <c r="Q178" s="1707"/>
      <c r="R178" s="1696"/>
      <c r="S178" s="1804"/>
      <c r="T178" s="1804"/>
      <c r="U178" s="1804"/>
      <c r="V178" s="1654"/>
      <c r="X178" s="1543"/>
    </row>
    <row r="179" spans="1:24" s="1542" customFormat="1" ht="12.75">
      <c r="A179" s="1654"/>
      <c r="B179" s="1654"/>
      <c r="C179" s="1654"/>
      <c r="D179" s="1654"/>
      <c r="E179" s="1656"/>
      <c r="F179" s="1656"/>
      <c r="G179" s="1656"/>
      <c r="H179" s="1656"/>
      <c r="I179" s="1656"/>
      <c r="J179" s="1656"/>
      <c r="K179" s="1656"/>
      <c r="L179" s="1656"/>
      <c r="M179" s="1656"/>
      <c r="N179" s="1656"/>
      <c r="O179" s="1654"/>
      <c r="P179" s="1707"/>
      <c r="Q179" s="1707"/>
      <c r="R179" s="1696"/>
      <c r="S179" s="1804"/>
      <c r="T179" s="1804"/>
      <c r="U179" s="1804"/>
      <c r="V179" s="1654"/>
      <c r="X179" s="1543"/>
    </row>
    <row r="180" spans="1:24" s="1542" customFormat="1" ht="12.75">
      <c r="A180" s="1654"/>
      <c r="B180" s="1654"/>
      <c r="C180" s="1654"/>
      <c r="D180" s="1654"/>
      <c r="E180" s="1656"/>
      <c r="F180" s="1656"/>
      <c r="G180" s="1656"/>
      <c r="H180" s="1656"/>
      <c r="I180" s="1656"/>
      <c r="J180" s="1656"/>
      <c r="K180" s="1656"/>
      <c r="L180" s="1656"/>
      <c r="M180" s="1656"/>
      <c r="N180" s="1656"/>
      <c r="O180" s="1654"/>
      <c r="P180" s="1707"/>
      <c r="Q180" s="1707"/>
      <c r="R180" s="1696"/>
      <c r="S180" s="1804"/>
      <c r="T180" s="1804"/>
      <c r="U180" s="1804"/>
      <c r="V180" s="1654"/>
      <c r="X180" s="1543"/>
    </row>
    <row r="181" spans="1:24" s="1542" customFormat="1" ht="12.75">
      <c r="A181" s="1654"/>
      <c r="B181" s="1654"/>
      <c r="C181" s="1654"/>
      <c r="D181" s="1654"/>
      <c r="E181" s="1656"/>
      <c r="F181" s="1656"/>
      <c r="G181" s="1656"/>
      <c r="H181" s="1656"/>
      <c r="I181" s="1656"/>
      <c r="J181" s="1656"/>
      <c r="K181" s="1656"/>
      <c r="L181" s="1656"/>
      <c r="M181" s="1656"/>
      <c r="N181" s="1656"/>
      <c r="O181" s="1654"/>
      <c r="P181" s="1707"/>
      <c r="Q181" s="1707"/>
      <c r="R181" s="1696"/>
      <c r="S181" s="1804"/>
      <c r="T181" s="1804"/>
      <c r="U181" s="1804"/>
      <c r="V181" s="1654"/>
      <c r="X181" s="1543"/>
    </row>
    <row r="182" spans="1:24" s="1542" customFormat="1" ht="12.75">
      <c r="A182" s="1654"/>
      <c r="B182" s="1654"/>
      <c r="C182" s="1654"/>
      <c r="D182" s="1654"/>
      <c r="E182" s="1656"/>
      <c r="F182" s="1656"/>
      <c r="G182" s="1656"/>
      <c r="H182" s="1656"/>
      <c r="I182" s="1656"/>
      <c r="J182" s="1656"/>
      <c r="K182" s="1656"/>
      <c r="L182" s="1656"/>
      <c r="M182" s="1656"/>
      <c r="N182" s="1656"/>
      <c r="O182" s="1654"/>
      <c r="P182" s="1707"/>
      <c r="Q182" s="1707"/>
      <c r="R182" s="1696"/>
      <c r="S182" s="1804"/>
      <c r="T182" s="1804"/>
      <c r="U182" s="1804"/>
      <c r="V182" s="1654"/>
      <c r="X182" s="1543"/>
    </row>
    <row r="183" spans="1:24" s="1542" customFormat="1" ht="12.75">
      <c r="A183" s="1654"/>
      <c r="B183" s="1654"/>
      <c r="C183" s="1654"/>
      <c r="D183" s="1654"/>
      <c r="E183" s="1656"/>
      <c r="F183" s="1656"/>
      <c r="G183" s="1656"/>
      <c r="H183" s="1656"/>
      <c r="I183" s="1656"/>
      <c r="J183" s="1656"/>
      <c r="K183" s="1656"/>
      <c r="L183" s="1656"/>
      <c r="M183" s="1656"/>
      <c r="N183" s="1656"/>
      <c r="O183" s="1654"/>
      <c r="P183" s="1707"/>
      <c r="Q183" s="1707"/>
      <c r="R183" s="1696"/>
      <c r="S183" s="1804"/>
      <c r="T183" s="1804"/>
      <c r="U183" s="1804"/>
      <c r="V183" s="1654"/>
      <c r="X183" s="1543"/>
    </row>
    <row r="184" spans="1:24" s="1542" customFormat="1" ht="12.75">
      <c r="A184" s="1654"/>
      <c r="B184" s="1654"/>
      <c r="C184" s="1654"/>
      <c r="D184" s="1654"/>
      <c r="E184" s="1656"/>
      <c r="F184" s="1656"/>
      <c r="G184" s="1656"/>
      <c r="H184" s="1656"/>
      <c r="I184" s="1656"/>
      <c r="J184" s="1656"/>
      <c r="K184" s="1656"/>
      <c r="L184" s="1656"/>
      <c r="M184" s="1656"/>
      <c r="N184" s="1656"/>
      <c r="O184" s="1654"/>
      <c r="P184" s="1707"/>
      <c r="Q184" s="1707"/>
      <c r="R184" s="1696"/>
      <c r="S184" s="1804"/>
      <c r="T184" s="1804"/>
      <c r="U184" s="1804"/>
      <c r="V184" s="1654"/>
      <c r="X184" s="1543"/>
    </row>
    <row r="185" spans="1:24" s="1542" customFormat="1" ht="12.75">
      <c r="A185" s="1654"/>
      <c r="B185" s="1654"/>
      <c r="C185" s="1654"/>
      <c r="D185" s="1654"/>
      <c r="E185" s="1656"/>
      <c r="F185" s="1656"/>
      <c r="G185" s="1656"/>
      <c r="H185" s="1656"/>
      <c r="I185" s="1656"/>
      <c r="J185" s="1656"/>
      <c r="K185" s="1656"/>
      <c r="L185" s="1656"/>
      <c r="M185" s="1656"/>
      <c r="N185" s="1656"/>
      <c r="O185" s="1654"/>
      <c r="P185" s="1707"/>
      <c r="Q185" s="1707"/>
      <c r="R185" s="1696"/>
      <c r="S185" s="1804"/>
      <c r="T185" s="1804"/>
      <c r="U185" s="1804"/>
      <c r="V185" s="1654"/>
      <c r="X185" s="1543"/>
    </row>
    <row r="186" spans="1:24" s="1542" customFormat="1" ht="12.75">
      <c r="A186" s="1654"/>
      <c r="B186" s="1654"/>
      <c r="C186" s="1654"/>
      <c r="D186" s="1654"/>
      <c r="E186" s="1656"/>
      <c r="F186" s="1656"/>
      <c r="G186" s="1656"/>
      <c r="H186" s="1656"/>
      <c r="I186" s="1656"/>
      <c r="J186" s="1656"/>
      <c r="K186" s="1656"/>
      <c r="L186" s="1656"/>
      <c r="M186" s="1656"/>
      <c r="N186" s="1656"/>
      <c r="O186" s="1654"/>
      <c r="P186" s="1707"/>
      <c r="Q186" s="1707"/>
      <c r="R186" s="1696"/>
      <c r="S186" s="1654"/>
      <c r="T186" s="1654"/>
      <c r="U186" s="1654"/>
      <c r="V186" s="1654"/>
      <c r="X186" s="1543"/>
    </row>
    <row r="187" spans="1:24" s="1542" customFormat="1" ht="12.75">
      <c r="A187" s="1654"/>
      <c r="B187" s="1654"/>
      <c r="C187" s="1654"/>
      <c r="D187" s="1654"/>
      <c r="E187" s="1656"/>
      <c r="F187" s="1656"/>
      <c r="G187" s="1656"/>
      <c r="H187" s="1656"/>
      <c r="I187" s="1656"/>
      <c r="J187" s="1656"/>
      <c r="K187" s="1656"/>
      <c r="L187" s="1656"/>
      <c r="M187" s="1656"/>
      <c r="N187" s="1656"/>
      <c r="O187" s="1654"/>
      <c r="P187" s="1707"/>
      <c r="Q187" s="1707"/>
      <c r="R187" s="1696"/>
      <c r="S187" s="1654"/>
      <c r="T187" s="1654"/>
      <c r="U187" s="1654"/>
      <c r="V187" s="1654"/>
      <c r="X187" s="1543"/>
    </row>
    <row r="188" spans="1:24" s="1542" customFormat="1" ht="12.75">
      <c r="A188" s="1654"/>
      <c r="B188" s="1654"/>
      <c r="C188" s="1654"/>
      <c r="D188" s="1654"/>
      <c r="E188" s="1656"/>
      <c r="F188" s="1656"/>
      <c r="G188" s="1656"/>
      <c r="H188" s="1656"/>
      <c r="I188" s="1656"/>
      <c r="J188" s="1656"/>
      <c r="K188" s="1656"/>
      <c r="L188" s="1656"/>
      <c r="M188" s="1656"/>
      <c r="N188" s="1656"/>
      <c r="O188" s="1654"/>
      <c r="P188" s="1707"/>
      <c r="Q188" s="1707"/>
      <c r="R188" s="1696"/>
      <c r="S188" s="1654"/>
      <c r="T188" s="1654"/>
      <c r="U188" s="1654"/>
      <c r="V188" s="1654"/>
      <c r="X188" s="1543"/>
    </row>
    <row r="189" spans="1:24" s="1542" customFormat="1" ht="12.75">
      <c r="A189" s="1654"/>
      <c r="B189" s="1654"/>
      <c r="C189" s="1654"/>
      <c r="D189" s="1654"/>
      <c r="E189" s="1656"/>
      <c r="F189" s="1656"/>
      <c r="G189" s="1656"/>
      <c r="H189" s="1656"/>
      <c r="I189" s="1656"/>
      <c r="J189" s="1656"/>
      <c r="K189" s="1656"/>
      <c r="L189" s="1656"/>
      <c r="M189" s="1656"/>
      <c r="N189" s="1656"/>
      <c r="O189" s="1654"/>
      <c r="P189" s="1707"/>
      <c r="Q189" s="1707"/>
      <c r="R189" s="1696"/>
      <c r="S189" s="1654"/>
      <c r="T189" s="1654"/>
      <c r="U189" s="1654"/>
      <c r="V189" s="1654"/>
      <c r="X189" s="1543"/>
    </row>
    <row r="190" spans="1:24" s="1542" customFormat="1" ht="12.75">
      <c r="A190" s="1654"/>
      <c r="B190" s="1654"/>
      <c r="C190" s="1654"/>
      <c r="D190" s="1654"/>
      <c r="E190" s="1656"/>
      <c r="F190" s="1656"/>
      <c r="G190" s="1656"/>
      <c r="H190" s="1656"/>
      <c r="I190" s="1656"/>
      <c r="J190" s="1656"/>
      <c r="K190" s="1656"/>
      <c r="L190" s="1656"/>
      <c r="M190" s="1656"/>
      <c r="N190" s="1656"/>
      <c r="O190" s="1654"/>
      <c r="P190" s="1707"/>
      <c r="Q190" s="1707"/>
      <c r="R190" s="1696"/>
      <c r="S190" s="1654"/>
      <c r="T190" s="1654"/>
      <c r="U190" s="1654"/>
      <c r="V190" s="1654"/>
      <c r="X190" s="1543"/>
    </row>
    <row r="191" spans="1:24" s="1542" customFormat="1" ht="12.75">
      <c r="A191" s="1654"/>
      <c r="B191" s="1654"/>
      <c r="C191" s="1654"/>
      <c r="D191" s="1654"/>
      <c r="E191" s="1656"/>
      <c r="F191" s="1656"/>
      <c r="G191" s="1656"/>
      <c r="H191" s="1656"/>
      <c r="I191" s="1656"/>
      <c r="J191" s="1656"/>
      <c r="K191" s="1656"/>
      <c r="L191" s="1656"/>
      <c r="M191" s="1656"/>
      <c r="N191" s="1656"/>
      <c r="O191" s="1654"/>
      <c r="P191" s="1707"/>
      <c r="Q191" s="1707"/>
      <c r="R191" s="1696"/>
      <c r="S191" s="1654"/>
      <c r="T191" s="1654"/>
      <c r="U191" s="1654"/>
      <c r="V191" s="1654"/>
      <c r="X191" s="1543"/>
    </row>
    <row r="192" spans="1:24" s="1542" customFormat="1" ht="12.75">
      <c r="A192" s="1654"/>
      <c r="B192" s="1654"/>
      <c r="C192" s="1654"/>
      <c r="D192" s="1654"/>
      <c r="E192" s="1656"/>
      <c r="F192" s="1656"/>
      <c r="G192" s="1656"/>
      <c r="H192" s="1656"/>
      <c r="I192" s="1656"/>
      <c r="J192" s="1656"/>
      <c r="K192" s="1656"/>
      <c r="L192" s="1656"/>
      <c r="M192" s="1656"/>
      <c r="N192" s="1656"/>
      <c r="O192" s="1654"/>
      <c r="P192" s="1707"/>
      <c r="Q192" s="1707"/>
      <c r="R192" s="1696"/>
      <c r="S192" s="1654"/>
      <c r="T192" s="1654"/>
      <c r="U192" s="1654"/>
      <c r="V192" s="1654"/>
      <c r="X192" s="1543"/>
    </row>
    <row r="193" spans="1:24" s="1542" customFormat="1" ht="12.75">
      <c r="A193" s="1654"/>
      <c r="B193" s="1654"/>
      <c r="C193" s="1654"/>
      <c r="D193" s="1654"/>
      <c r="E193" s="1656"/>
      <c r="F193" s="1656"/>
      <c r="G193" s="1656"/>
      <c r="H193" s="1656"/>
      <c r="I193" s="1656"/>
      <c r="J193" s="1656"/>
      <c r="K193" s="1656"/>
      <c r="L193" s="1656"/>
      <c r="M193" s="1656"/>
      <c r="N193" s="1656"/>
      <c r="O193" s="1654"/>
      <c r="P193" s="1707"/>
      <c r="Q193" s="1707"/>
      <c r="R193" s="1696"/>
      <c r="S193" s="1654"/>
      <c r="T193" s="1654"/>
      <c r="U193" s="1654"/>
      <c r="V193" s="1654"/>
      <c r="X193" s="1543"/>
    </row>
    <row r="194" spans="1:24" s="1542" customFormat="1" ht="12.75">
      <c r="A194" s="1654"/>
      <c r="B194" s="1654"/>
      <c r="C194" s="1654"/>
      <c r="D194" s="1654"/>
      <c r="E194" s="1656"/>
      <c r="F194" s="1656"/>
      <c r="G194" s="1656"/>
      <c r="H194" s="1656"/>
      <c r="I194" s="1656"/>
      <c r="J194" s="1656"/>
      <c r="K194" s="1656"/>
      <c r="L194" s="1656"/>
      <c r="M194" s="1656"/>
      <c r="N194" s="1656"/>
      <c r="O194" s="1654"/>
      <c r="P194" s="1707"/>
      <c r="Q194" s="1707"/>
      <c r="R194" s="1696"/>
      <c r="S194" s="1654"/>
      <c r="T194" s="1654"/>
      <c r="U194" s="1654"/>
      <c r="V194" s="1654"/>
      <c r="X194" s="1543"/>
    </row>
    <row r="195" spans="1:24" s="1542" customFormat="1" ht="12.75">
      <c r="A195" s="1654"/>
      <c r="B195" s="1654"/>
      <c r="C195" s="1654"/>
      <c r="D195" s="1654"/>
      <c r="E195" s="1656"/>
      <c r="F195" s="1656"/>
      <c r="G195" s="1656"/>
      <c r="H195" s="1656"/>
      <c r="I195" s="1656"/>
      <c r="J195" s="1656"/>
      <c r="K195" s="1656"/>
      <c r="L195" s="1656"/>
      <c r="M195" s="1656"/>
      <c r="N195" s="1656"/>
      <c r="O195" s="1654"/>
      <c r="P195" s="1707"/>
      <c r="Q195" s="1707"/>
      <c r="R195" s="1696"/>
      <c r="S195" s="1654"/>
      <c r="T195" s="1654"/>
      <c r="U195" s="1654"/>
      <c r="V195" s="1654"/>
      <c r="X195" s="1543"/>
    </row>
    <row r="196" spans="1:24" s="1542" customFormat="1" ht="12.75">
      <c r="A196" s="1654"/>
      <c r="B196" s="1654"/>
      <c r="C196" s="1654"/>
      <c r="D196" s="1654"/>
      <c r="E196" s="1656"/>
      <c r="F196" s="1656"/>
      <c r="G196" s="1656"/>
      <c r="H196" s="1656"/>
      <c r="I196" s="1656"/>
      <c r="J196" s="1656"/>
      <c r="K196" s="1656"/>
      <c r="L196" s="1656"/>
      <c r="M196" s="1656"/>
      <c r="N196" s="1656"/>
      <c r="O196" s="1654"/>
      <c r="P196" s="1707"/>
      <c r="Q196" s="1707"/>
      <c r="R196" s="1696"/>
      <c r="S196" s="1654"/>
      <c r="T196" s="1654"/>
      <c r="U196" s="1654"/>
      <c r="V196" s="1654"/>
      <c r="X196" s="1543"/>
    </row>
    <row r="197" spans="1:24" s="1542" customFormat="1" ht="12.75">
      <c r="A197" s="1654"/>
      <c r="B197" s="1654"/>
      <c r="C197" s="1654"/>
      <c r="D197" s="1654"/>
      <c r="E197" s="1656"/>
      <c r="F197" s="1656"/>
      <c r="G197" s="1656"/>
      <c r="H197" s="1656"/>
      <c r="I197" s="1656"/>
      <c r="J197" s="1656"/>
      <c r="K197" s="1656"/>
      <c r="L197" s="1656"/>
      <c r="M197" s="1656"/>
      <c r="N197" s="1656"/>
      <c r="O197" s="1654"/>
      <c r="P197" s="1707"/>
      <c r="Q197" s="1707"/>
      <c r="R197" s="1696"/>
      <c r="S197" s="1654"/>
      <c r="T197" s="1654"/>
      <c r="U197" s="1654"/>
      <c r="V197" s="1654"/>
      <c r="X197" s="1543"/>
    </row>
    <row r="198" spans="1:24" s="1542" customFormat="1" ht="12.75">
      <c r="A198" s="1654"/>
      <c r="B198" s="1654"/>
      <c r="C198" s="1654"/>
      <c r="D198" s="1654"/>
      <c r="E198" s="1656"/>
      <c r="F198" s="1656"/>
      <c r="G198" s="1656"/>
      <c r="H198" s="1656"/>
      <c r="I198" s="1656"/>
      <c r="J198" s="1656"/>
      <c r="K198" s="1656"/>
      <c r="L198" s="1656"/>
      <c r="M198" s="1656"/>
      <c r="N198" s="1656"/>
      <c r="O198" s="1654"/>
      <c r="P198" s="1707"/>
      <c r="Q198" s="1707"/>
      <c r="R198" s="1696"/>
      <c r="S198" s="1654"/>
      <c r="T198" s="1654"/>
      <c r="U198" s="1654"/>
      <c r="V198" s="1654"/>
      <c r="X198" s="1543"/>
    </row>
    <row r="199" spans="1:24" s="1542" customFormat="1" ht="12.75">
      <c r="A199" s="1654"/>
      <c r="B199" s="1654"/>
      <c r="C199" s="1654"/>
      <c r="D199" s="1654"/>
      <c r="E199" s="1656"/>
      <c r="F199" s="1656"/>
      <c r="G199" s="1656"/>
      <c r="H199" s="1656"/>
      <c r="I199" s="1656"/>
      <c r="J199" s="1656"/>
      <c r="K199" s="1656"/>
      <c r="L199" s="1656"/>
      <c r="M199" s="1656"/>
      <c r="N199" s="1656"/>
      <c r="O199" s="1654"/>
      <c r="P199" s="1707"/>
      <c r="Q199" s="1707"/>
      <c r="R199" s="1696"/>
      <c r="S199" s="1654"/>
      <c r="T199" s="1654"/>
      <c r="U199" s="1654"/>
      <c r="V199" s="1654"/>
      <c r="X199" s="1543"/>
    </row>
    <row r="200" spans="1:24" s="1542" customFormat="1" ht="12.75">
      <c r="A200" s="1654"/>
      <c r="B200" s="1654"/>
      <c r="C200" s="1654"/>
      <c r="D200" s="1654"/>
      <c r="E200" s="1656"/>
      <c r="F200" s="1656"/>
      <c r="G200" s="1656"/>
      <c r="H200" s="1656"/>
      <c r="I200" s="1656"/>
      <c r="J200" s="1656"/>
      <c r="K200" s="1656"/>
      <c r="L200" s="1656"/>
      <c r="M200" s="1656"/>
      <c r="N200" s="1656"/>
      <c r="O200" s="1654"/>
      <c r="P200" s="1707"/>
      <c r="Q200" s="1707"/>
      <c r="R200" s="1696"/>
      <c r="S200" s="1654"/>
      <c r="T200" s="1654"/>
      <c r="U200" s="1654"/>
      <c r="V200" s="1654"/>
      <c r="X200" s="1543"/>
    </row>
    <row r="201" spans="1:24" s="1542" customFormat="1" ht="12.75">
      <c r="A201" s="1654"/>
      <c r="B201" s="1654"/>
      <c r="C201" s="1654"/>
      <c r="D201" s="1654"/>
      <c r="E201" s="1656"/>
      <c r="F201" s="1656"/>
      <c r="G201" s="1656"/>
      <c r="H201" s="1656"/>
      <c r="I201" s="1656"/>
      <c r="J201" s="1656"/>
      <c r="K201" s="1656"/>
      <c r="L201" s="1656"/>
      <c r="M201" s="1656"/>
      <c r="N201" s="1656"/>
      <c r="O201" s="1654"/>
      <c r="P201" s="1707"/>
      <c r="Q201" s="1707"/>
      <c r="R201" s="1696"/>
      <c r="S201" s="1654"/>
      <c r="T201" s="1654"/>
      <c r="U201" s="1654"/>
      <c r="V201" s="1654"/>
      <c r="X201" s="1543"/>
    </row>
    <row r="202" spans="1:24" s="1542" customFormat="1" ht="12.75">
      <c r="A202" s="1654"/>
      <c r="B202" s="1654"/>
      <c r="C202" s="1654"/>
      <c r="D202" s="1654"/>
      <c r="E202" s="1656"/>
      <c r="F202" s="1656"/>
      <c r="G202" s="1656"/>
      <c r="H202" s="1656"/>
      <c r="I202" s="1656"/>
      <c r="J202" s="1656"/>
      <c r="K202" s="1656"/>
      <c r="L202" s="1656"/>
      <c r="M202" s="1656"/>
      <c r="N202" s="1656"/>
      <c r="O202" s="1654"/>
      <c r="P202" s="1707"/>
      <c r="Q202" s="1707"/>
      <c r="R202" s="1696"/>
      <c r="S202" s="1654"/>
      <c r="T202" s="1654"/>
      <c r="U202" s="1654"/>
      <c r="V202" s="1654"/>
      <c r="X202" s="1543"/>
    </row>
    <row r="203" spans="1:24" s="1542" customFormat="1" ht="12.75">
      <c r="A203" s="1654"/>
      <c r="B203" s="1654"/>
      <c r="C203" s="1654"/>
      <c r="D203" s="1654"/>
      <c r="E203" s="1656"/>
      <c r="F203" s="1656"/>
      <c r="G203" s="1656"/>
      <c r="H203" s="1656"/>
      <c r="I203" s="1656"/>
      <c r="J203" s="1656"/>
      <c r="K203" s="1656"/>
      <c r="L203" s="1656"/>
      <c r="M203" s="1656"/>
      <c r="N203" s="1656"/>
      <c r="O203" s="1654"/>
      <c r="P203" s="1707"/>
      <c r="Q203" s="1707"/>
      <c r="R203" s="1696"/>
      <c r="S203" s="1654"/>
      <c r="T203" s="1654"/>
      <c r="U203" s="1654"/>
      <c r="V203" s="1654"/>
      <c r="X203" s="1543"/>
    </row>
    <row r="204" spans="1:24" s="1542" customFormat="1" ht="12.75">
      <c r="A204" s="1654"/>
      <c r="B204" s="1654"/>
      <c r="C204" s="1654"/>
      <c r="D204" s="1654"/>
      <c r="E204" s="1656"/>
      <c r="F204" s="1656"/>
      <c r="G204" s="1656"/>
      <c r="H204" s="1656"/>
      <c r="I204" s="1656"/>
      <c r="J204" s="1656"/>
      <c r="K204" s="1656"/>
      <c r="L204" s="1656"/>
      <c r="M204" s="1656"/>
      <c r="N204" s="1656"/>
      <c r="O204" s="1654"/>
      <c r="P204" s="1707"/>
      <c r="Q204" s="1707"/>
      <c r="R204" s="1696"/>
      <c r="S204" s="1654"/>
      <c r="T204" s="1654"/>
      <c r="U204" s="1654"/>
      <c r="V204" s="1654"/>
      <c r="X204" s="1543"/>
    </row>
    <row r="205" spans="1:24" s="1542" customFormat="1" ht="12.75">
      <c r="A205" s="1654"/>
      <c r="B205" s="1654"/>
      <c r="C205" s="1654"/>
      <c r="D205" s="1654"/>
      <c r="E205" s="1656"/>
      <c r="F205" s="1656"/>
      <c r="G205" s="1656"/>
      <c r="H205" s="1656"/>
      <c r="I205" s="1656"/>
      <c r="J205" s="1656"/>
      <c r="K205" s="1656"/>
      <c r="L205" s="1656"/>
      <c r="M205" s="1656"/>
      <c r="N205" s="1656"/>
      <c r="O205" s="1654"/>
      <c r="P205" s="1707"/>
      <c r="Q205" s="1707"/>
      <c r="R205" s="1696"/>
      <c r="S205" s="1654"/>
      <c r="T205" s="1654"/>
      <c r="U205" s="1654"/>
      <c r="V205" s="1654"/>
      <c r="X205" s="1543"/>
    </row>
    <row r="206" spans="1:24" s="1542" customFormat="1" ht="12.75">
      <c r="A206" s="1654"/>
      <c r="B206" s="1654"/>
      <c r="C206" s="1654"/>
      <c r="D206" s="1654"/>
      <c r="E206" s="1656"/>
      <c r="F206" s="1656"/>
      <c r="G206" s="1656"/>
      <c r="H206" s="1656"/>
      <c r="I206" s="1656"/>
      <c r="J206" s="1656"/>
      <c r="K206" s="1656"/>
      <c r="L206" s="1656"/>
      <c r="M206" s="1656"/>
      <c r="N206" s="1656"/>
      <c r="O206" s="1654"/>
      <c r="P206" s="1707"/>
      <c r="Q206" s="1707"/>
      <c r="R206" s="1696"/>
      <c r="S206" s="1654"/>
      <c r="T206" s="1654"/>
      <c r="U206" s="1654"/>
      <c r="V206" s="1654"/>
      <c r="X206" s="1543"/>
    </row>
    <row r="207" spans="1:24" s="1542" customFormat="1" ht="12.75">
      <c r="A207" s="1654"/>
      <c r="B207" s="1654"/>
      <c r="C207" s="1654"/>
      <c r="D207" s="1654"/>
      <c r="E207" s="1656"/>
      <c r="F207" s="1656"/>
      <c r="G207" s="1656"/>
      <c r="H207" s="1656"/>
      <c r="I207" s="1656"/>
      <c r="J207" s="1656"/>
      <c r="K207" s="1656"/>
      <c r="L207" s="1656"/>
      <c r="M207" s="1656"/>
      <c r="N207" s="1656"/>
      <c r="O207" s="1654"/>
      <c r="P207" s="1707"/>
      <c r="Q207" s="1707"/>
      <c r="R207" s="1696"/>
      <c r="S207" s="1654"/>
      <c r="T207" s="1654"/>
      <c r="U207" s="1654"/>
      <c r="V207" s="1654"/>
      <c r="X207" s="1543"/>
    </row>
    <row r="208" spans="1:24" s="1542" customFormat="1" ht="12.75">
      <c r="A208" s="1654"/>
      <c r="B208" s="1654"/>
      <c r="C208" s="1654"/>
      <c r="D208" s="1654"/>
      <c r="E208" s="1656"/>
      <c r="F208" s="1656"/>
      <c r="G208" s="1656"/>
      <c r="H208" s="1656"/>
      <c r="I208" s="1656"/>
      <c r="J208" s="1656"/>
      <c r="K208" s="1656"/>
      <c r="L208" s="1656"/>
      <c r="M208" s="1656"/>
      <c r="N208" s="1656"/>
      <c r="O208" s="1654"/>
      <c r="P208" s="1707"/>
      <c r="Q208" s="1707"/>
      <c r="R208" s="1696"/>
      <c r="S208" s="1654"/>
      <c r="T208" s="1654"/>
      <c r="U208" s="1654"/>
      <c r="V208" s="1654"/>
      <c r="X208" s="1543"/>
    </row>
    <row r="209" spans="1:24" s="1542" customFormat="1" ht="12.75">
      <c r="A209" s="1654"/>
      <c r="B209" s="1654"/>
      <c r="C209" s="1654"/>
      <c r="D209" s="1654"/>
      <c r="E209" s="1656"/>
      <c r="F209" s="1656"/>
      <c r="G209" s="1656"/>
      <c r="H209" s="1656"/>
      <c r="I209" s="1656"/>
      <c r="J209" s="1656"/>
      <c r="K209" s="1656"/>
      <c r="L209" s="1656"/>
      <c r="M209" s="1656"/>
      <c r="N209" s="1656"/>
      <c r="O209" s="1654"/>
      <c r="P209" s="1707"/>
      <c r="Q209" s="1707"/>
      <c r="R209" s="1696"/>
      <c r="S209" s="1654"/>
      <c r="T209" s="1654"/>
      <c r="U209" s="1654"/>
      <c r="V209" s="1654"/>
      <c r="X209" s="1543"/>
    </row>
  </sheetData>
  <sheetProtection password="81B0" sheet="1"/>
  <mergeCells count="97">
    <mergeCell ref="S4:U4"/>
    <mergeCell ref="S6:U6"/>
    <mergeCell ref="S8:U8"/>
    <mergeCell ref="S9:U9"/>
    <mergeCell ref="B2:D2"/>
    <mergeCell ref="I2:J2"/>
    <mergeCell ref="L2:N2"/>
    <mergeCell ref="T2:U2"/>
    <mergeCell ref="S18:U18"/>
    <mergeCell ref="S19:U19"/>
    <mergeCell ref="S20:U20"/>
    <mergeCell ref="S21:U21"/>
    <mergeCell ref="S13:U13"/>
    <mergeCell ref="S14:U14"/>
    <mergeCell ref="S16:U16"/>
    <mergeCell ref="S17:U17"/>
    <mergeCell ref="S15:U15"/>
    <mergeCell ref="S27:U27"/>
    <mergeCell ref="S28:U28"/>
    <mergeCell ref="S35:U35"/>
    <mergeCell ref="S36:U36"/>
    <mergeCell ref="S22:U22"/>
    <mergeCell ref="S23:U23"/>
    <mergeCell ref="S25:U25"/>
    <mergeCell ref="S26:U26"/>
    <mergeCell ref="S43:U43"/>
    <mergeCell ref="S44:U44"/>
    <mergeCell ref="S45:U45"/>
    <mergeCell ref="S46:U46"/>
    <mergeCell ref="S37:U37"/>
    <mergeCell ref="S38:U38"/>
    <mergeCell ref="S40:U40"/>
    <mergeCell ref="S42:U42"/>
    <mergeCell ref="S54:U54"/>
    <mergeCell ref="S55:U55"/>
    <mergeCell ref="S56:U56"/>
    <mergeCell ref="S58:U58"/>
    <mergeCell ref="S48:U48"/>
    <mergeCell ref="S51:U51"/>
    <mergeCell ref="S52:U52"/>
    <mergeCell ref="S53:U53"/>
    <mergeCell ref="S65:U65"/>
    <mergeCell ref="S66:U66"/>
    <mergeCell ref="S67:U67"/>
    <mergeCell ref="S69:U69"/>
    <mergeCell ref="S59:U59"/>
    <mergeCell ref="S60:U60"/>
    <mergeCell ref="S61:U61"/>
    <mergeCell ref="S63:U63"/>
    <mergeCell ref="S75:U75"/>
    <mergeCell ref="S77:U77"/>
    <mergeCell ref="S79:U79"/>
    <mergeCell ref="S80:U80"/>
    <mergeCell ref="S70:U70"/>
    <mergeCell ref="S71:U71"/>
    <mergeCell ref="S73:U73"/>
    <mergeCell ref="S74:U74"/>
    <mergeCell ref="S89:U89"/>
    <mergeCell ref="S91:U91"/>
    <mergeCell ref="S92:U92"/>
    <mergeCell ref="S93:U93"/>
    <mergeCell ref="S81:U81"/>
    <mergeCell ref="B82:D82"/>
    <mergeCell ref="S87:U87"/>
    <mergeCell ref="S88:U88"/>
    <mergeCell ref="S99:U99"/>
    <mergeCell ref="S101:U101"/>
    <mergeCell ref="S104:U104"/>
    <mergeCell ref="S105:U105"/>
    <mergeCell ref="S94:U94"/>
    <mergeCell ref="S95:U95"/>
    <mergeCell ref="S97:U97"/>
    <mergeCell ref="S98:U98"/>
    <mergeCell ref="S118:U118"/>
    <mergeCell ref="S120:U120"/>
    <mergeCell ref="S122:U122"/>
    <mergeCell ref="S125:U125"/>
    <mergeCell ref="S106:U106"/>
    <mergeCell ref="S108:U108"/>
    <mergeCell ref="S109:U109"/>
    <mergeCell ref="S110:U110"/>
    <mergeCell ref="B133:D133"/>
    <mergeCell ref="F134:G134"/>
    <mergeCell ref="L134:N134"/>
    <mergeCell ref="P134:Q134"/>
    <mergeCell ref="S112:U112"/>
    <mergeCell ref="S113:U113"/>
    <mergeCell ref="S131:U131"/>
    <mergeCell ref="S114:U114"/>
    <mergeCell ref="S116:U116"/>
    <mergeCell ref="S117:U117"/>
    <mergeCell ref="S130:U130"/>
    <mergeCell ref="S124:U124"/>
    <mergeCell ref="S126:U126"/>
    <mergeCell ref="S127:U127"/>
    <mergeCell ref="S129:U129"/>
    <mergeCell ref="S132:U132"/>
  </mergeCells>
  <conditionalFormatting sqref="B133">
    <cfRule type="cellIs" priority="50" dxfId="143" operator="notEqual" stopIfTrue="1">
      <formula>0</formula>
    </cfRule>
    <cfRule type="cellIs" priority="38" dxfId="144" operator="equal">
      <formula>0</formula>
    </cfRule>
  </conditionalFormatting>
  <conditionalFormatting sqref="G2">
    <cfRule type="cellIs" priority="10" dxfId="14" operator="notEqual" stopIfTrue="1">
      <formula>0</formula>
    </cfRule>
    <cfRule type="cellIs" priority="11" dxfId="145" operator="equal" stopIfTrue="1">
      <formula>0</formula>
    </cfRule>
    <cfRule type="cellIs" priority="12" dxfId="146" operator="equal" stopIfTrue="1">
      <formula>0</formula>
    </cfRule>
    <cfRule type="cellIs" priority="49" dxfId="147" operator="equal">
      <formula>0</formula>
    </cfRule>
  </conditionalFormatting>
  <conditionalFormatting sqref="I2">
    <cfRule type="cellIs" priority="48" dxfId="147" operator="equal">
      <formula>0</formula>
    </cfRule>
  </conditionalFormatting>
  <conditionalFormatting sqref="F137:G138">
    <cfRule type="cellIs" priority="46" dxfId="148" operator="equal" stopIfTrue="1">
      <formula>"НЕРАВНЕНИЕ!"</formula>
    </cfRule>
    <cfRule type="cellIs" priority="47" dxfId="8" operator="equal" stopIfTrue="1">
      <formula>"НЕРАВНЕНИЕ!"</formula>
    </cfRule>
  </conditionalFormatting>
  <conditionalFormatting sqref="I137:J138 N137:N138">
    <cfRule type="cellIs" priority="45" dxfId="148" operator="equal" stopIfTrue="1">
      <formula>"НЕРАВНЕНИЕ!"</formula>
    </cfRule>
  </conditionalFormatting>
  <conditionalFormatting sqref="L137:M138">
    <cfRule type="cellIs" priority="44" dxfId="148" operator="equal" stopIfTrue="1">
      <formula>"НЕРАВНЕНИЕ!"</formula>
    </cfRule>
  </conditionalFormatting>
  <conditionalFormatting sqref="F140:G141">
    <cfRule type="cellIs" priority="42" dxfId="148" operator="equal" stopIfTrue="1">
      <formula>"НЕРАВНЕНИЕ !"</formula>
    </cfRule>
    <cfRule type="cellIs" priority="43" dxfId="8" operator="equal" stopIfTrue="1">
      <formula>"НЕРАВНЕНИЕ !"</formula>
    </cfRule>
  </conditionalFormatting>
  <conditionalFormatting sqref="I140:J141 N140:N141">
    <cfRule type="cellIs" priority="41" dxfId="148" operator="equal" stopIfTrue="1">
      <formula>"НЕРАВНЕНИЕ !"</formula>
    </cfRule>
  </conditionalFormatting>
  <conditionalFormatting sqref="L140:M141">
    <cfRule type="cellIs" priority="40" dxfId="148" operator="equal" stopIfTrue="1">
      <formula>"НЕРАВНЕНИЕ !"</formula>
    </cfRule>
  </conditionalFormatting>
  <conditionalFormatting sqref="I140:J141 L140:L141 N140:N141 F140:G141">
    <cfRule type="cellIs" priority="39" dxfId="148" operator="notEqual">
      <formula>0</formula>
    </cfRule>
  </conditionalFormatting>
  <conditionalFormatting sqref="B82">
    <cfRule type="cellIs" priority="29" dxfId="145" operator="equal">
      <formula>0</formula>
    </cfRule>
    <cfRule type="cellIs" priority="30" dxfId="143" operator="notEqual" stopIfTrue="1">
      <formula>0</formula>
    </cfRule>
  </conditionalFormatting>
  <conditionalFormatting sqref="P137:Q138">
    <cfRule type="cellIs" priority="26" dxfId="148" operator="equal" stopIfTrue="1">
      <formula>"НЕРАВНЕНИЕ!"</formula>
    </cfRule>
    <cfRule type="cellIs" priority="27" dxfId="8" operator="equal" stopIfTrue="1">
      <formula>"НЕРАВНЕНИЕ!"</formula>
    </cfRule>
  </conditionalFormatting>
  <conditionalFormatting sqref="P140:Q141">
    <cfRule type="cellIs" priority="24" dxfId="148" operator="equal" stopIfTrue="1">
      <formula>"НЕРАВНЕНИЕ !"</formula>
    </cfRule>
    <cfRule type="cellIs" priority="25" dxfId="8" operator="equal" stopIfTrue="1">
      <formula>"НЕРАВНЕНИЕ !"</formula>
    </cfRule>
  </conditionalFormatting>
  <conditionalFormatting sqref="P140:Q141">
    <cfRule type="cellIs" priority="23" dxfId="148" operator="notEqual">
      <formula>0</formula>
    </cfRule>
  </conditionalFormatting>
  <conditionalFormatting sqref="P2">
    <cfRule type="cellIs" priority="18" dxfId="149" operator="equal" stopIfTrue="1">
      <formula>98</formula>
    </cfRule>
    <cfRule type="cellIs" priority="19" dxfId="150" operator="equal" stopIfTrue="1">
      <formula>96</formula>
    </cfRule>
    <cfRule type="cellIs" priority="20" dxfId="151" operator="equal" stopIfTrue="1">
      <formula>42</formula>
    </cfRule>
    <cfRule type="cellIs" priority="21" dxfId="152" operator="equal" stopIfTrue="1">
      <formula>97</formula>
    </cfRule>
    <cfRule type="cellIs" priority="22" dxfId="153" operator="equal" stopIfTrue="1">
      <formula>33</formula>
    </cfRule>
  </conditionalFormatting>
  <conditionalFormatting sqref="Q2">
    <cfRule type="cellIs" priority="13" dxfId="153" operator="equal" stopIfTrue="1">
      <formula>"Чужди средства"</formula>
    </cfRule>
    <cfRule type="cellIs" priority="14" dxfId="152" operator="equal" stopIfTrue="1">
      <formula>"СЕС - ДМП"</formula>
    </cfRule>
    <cfRule type="cellIs" priority="15" dxfId="151" operator="equal" stopIfTrue="1">
      <formula>"СЕС - РА"</formula>
    </cfRule>
    <cfRule type="cellIs" priority="16" dxfId="150" operator="equal" stopIfTrue="1">
      <formula>"СЕС - ДЕС"</formula>
    </cfRule>
    <cfRule type="cellIs" priority="17" dxfId="149" operator="equal" stopIfTrue="1">
      <formula>"СЕС - КСФ"</formula>
    </cfRule>
  </conditionalFormatting>
  <conditionalFormatting sqref="F133:G133">
    <cfRule type="cellIs" priority="51" dxfId="154" operator="notEqual" stopIfTrue="1">
      <formula>0</formula>
    </cfRule>
  </conditionalFormatting>
  <conditionalFormatting sqref="I133:J133">
    <cfRule type="cellIs" priority="37" dxfId="154" operator="notEqual" stopIfTrue="1">
      <formula>0</formula>
    </cfRule>
  </conditionalFormatting>
  <conditionalFormatting sqref="L82">
    <cfRule type="cellIs" priority="32" dxfId="154" operator="notEqual" stopIfTrue="1">
      <formula>0</formula>
    </cfRule>
  </conditionalFormatting>
  <conditionalFormatting sqref="N82">
    <cfRule type="cellIs" priority="31" dxfId="154" operator="notEqual" stopIfTrue="1">
      <formula>0</formula>
    </cfRule>
  </conditionalFormatting>
  <conditionalFormatting sqref="L133">
    <cfRule type="cellIs" priority="36" dxfId="154" operator="notEqual" stopIfTrue="1">
      <formula>0</formula>
    </cfRule>
  </conditionalFormatting>
  <conditionalFormatting sqref="N133">
    <cfRule type="cellIs" priority="35" dxfId="154" operator="notEqual" stopIfTrue="1">
      <formula>0</formula>
    </cfRule>
  </conditionalFormatting>
  <conditionalFormatting sqref="F82:H82">
    <cfRule type="cellIs" priority="34" dxfId="154" operator="notEqual" stopIfTrue="1">
      <formula>0</formula>
    </cfRule>
  </conditionalFormatting>
  <conditionalFormatting sqref="I82:J82">
    <cfRule type="cellIs" priority="33" dxfId="154" operator="notEqual" stopIfTrue="1">
      <formula>0</formula>
    </cfRule>
  </conditionalFormatting>
  <conditionalFormatting sqref="P133:Q133">
    <cfRule type="cellIs" priority="28" dxfId="154" operator="notEqual" stopIfTrue="1">
      <formula>0</formula>
    </cfRule>
  </conditionalFormatting>
  <conditionalFormatting sqref="P82:Q82">
    <cfRule type="cellIs" priority="9" dxfId="154" operator="notEqual" stopIfTrue="1">
      <formula>0</formula>
    </cfRule>
  </conditionalFormatting>
  <conditionalFormatting sqref="T2:U2">
    <cfRule type="cellIs" priority="5" dxfId="155" operator="between" stopIfTrue="1">
      <formula>1000000000000</formula>
      <formula>9999999999999990</formula>
    </cfRule>
    <cfRule type="cellIs" priority="6" dxfId="156" operator="between" stopIfTrue="1">
      <formula>10000000000</formula>
      <formula>999999999999</formula>
    </cfRule>
    <cfRule type="cellIs" priority="7" dxfId="157" operator="between" stopIfTrue="1">
      <formula>1000000</formula>
      <formula>99999999</formula>
    </cfRule>
    <cfRule type="cellIs" priority="8" dxfId="158" operator="between" stopIfTrue="1">
      <formula>100</formula>
      <formula>9999</formula>
    </cfRule>
  </conditionalFormatting>
  <dataValidations count="2">
    <dataValidation type="whole" allowBlank="1" showInputMessage="1" showErrorMessage="1" error="въведете цяло число" sqref="L11:L133 I11:J133 F11:G133 P11:Q133 N11:N133">
      <formula1>-10000000000000000</formula1>
      <formula2>10000000000000000</formula2>
    </dataValidation>
    <dataValidation operator="greaterThan" allowBlank="1" showInputMessage="1" showErrorMessage="1" sqref="C134"/>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3:U179 M10:O10 C134 R10:U10 F8:G9 I8:U9 F16:G22 I16:U21 F2:H2 J2:U2 I52:U68 I51:O51 R51:U51 I70:U123 I69:O69 R69:U69 I126:U126 I124:O124 R124:U124 I130:U130 I129:O129 R129:U129 I132:U132 I131:O131 R131:U131 I24:U50 I22:O22 T22:U22 R22 I11:U13 F11:G14 I14:O14 T14:U14 R14 F126:G126 K23 M23 O23 R23:U23 F24:G124 F128:G132 I128:U128 K127 M127 O127 R127:U127"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6"/>
  <sheetViews>
    <sheetView showZeros="0" zoomScale="75" zoomScaleNormal="75" workbookViewId="0" topLeftCell="B6">
      <selection activeCell="B6" sqref="B6"/>
    </sheetView>
  </sheetViews>
  <sheetFormatPr defaultColWidth="9.00390625" defaultRowHeight="12.75"/>
  <cols>
    <col min="1" max="1" width="3.875" style="837" hidden="1" customWidth="1"/>
    <col min="2" max="2" width="81.75390625" style="417" customWidth="1"/>
    <col min="3" max="3" width="3.25390625" style="417" hidden="1" customWidth="1"/>
    <col min="4" max="4" width="4.125" style="417" hidden="1" customWidth="1"/>
    <col min="5" max="6" width="19.125" style="416" customWidth="1"/>
    <col min="7" max="10" width="19.00390625" style="416" customWidth="1"/>
    <col min="11" max="13" width="23.125" style="416" hidden="1" customWidth="1"/>
    <col min="14" max="14" width="5.75390625" style="417" customWidth="1"/>
    <col min="15" max="15" width="55.625" style="837" customWidth="1"/>
    <col min="16" max="16" width="13.75390625" style="417" hidden="1" customWidth="1"/>
    <col min="17" max="17" width="5.75390625" style="417" customWidth="1"/>
    <col min="18" max="18" width="14.375" style="1044" customWidth="1"/>
    <col min="19" max="19" width="13.375" style="1044" customWidth="1"/>
    <col min="20" max="21" width="11.125" style="1044" customWidth="1"/>
    <col min="22" max="22" width="16.25390625" style="1044" hidden="1" customWidth="1"/>
    <col min="23" max="23" width="15.00390625" style="1044" hidden="1" customWidth="1"/>
    <col min="24" max="24" width="15.00390625" style="1045" customWidth="1"/>
    <col min="25" max="25" width="15.75390625" style="1044" hidden="1" customWidth="1"/>
    <col min="26" max="26" width="15.25390625" style="1044" hidden="1" customWidth="1"/>
    <col min="27" max="16384" width="9.125" style="1044" customWidth="1"/>
  </cols>
  <sheetData>
    <row r="1" spans="2:17" ht="18.75" hidden="1">
      <c r="B1" s="927"/>
      <c r="C1" s="927"/>
      <c r="D1" s="927"/>
      <c r="E1" s="817"/>
      <c r="F1" s="922"/>
      <c r="G1" s="922"/>
      <c r="H1" s="922"/>
      <c r="I1" s="817"/>
      <c r="J1" s="817"/>
      <c r="N1" s="837"/>
      <c r="O1" s="927"/>
      <c r="Q1" s="837"/>
    </row>
    <row r="2" spans="2:17" ht="15.75" hidden="1">
      <c r="B2" s="927"/>
      <c r="C2" s="927"/>
      <c r="D2" s="927"/>
      <c r="E2" s="817"/>
      <c r="F2" s="923"/>
      <c r="G2" s="923"/>
      <c r="H2" s="923"/>
      <c r="I2" s="817"/>
      <c r="J2" s="817"/>
      <c r="N2" s="837"/>
      <c r="O2" s="927"/>
      <c r="Q2" s="837"/>
    </row>
    <row r="3" spans="2:17" ht="21.75" customHeight="1" hidden="1">
      <c r="B3" s="927"/>
      <c r="C3" s="927"/>
      <c r="D3" s="927"/>
      <c r="E3" s="817"/>
      <c r="F3" s="923"/>
      <c r="G3" s="923"/>
      <c r="H3" s="923"/>
      <c r="I3" s="817"/>
      <c r="J3" s="817"/>
      <c r="N3" s="837"/>
      <c r="Q3" s="837"/>
    </row>
    <row r="4" spans="2:17" ht="15.75" hidden="1">
      <c r="B4" s="927"/>
      <c r="C4" s="927"/>
      <c r="D4" s="927"/>
      <c r="E4" s="817"/>
      <c r="F4" s="923"/>
      <c r="G4" s="923"/>
      <c r="H4" s="923"/>
      <c r="I4" s="817"/>
      <c r="J4" s="817"/>
      <c r="N4" s="837"/>
      <c r="O4" s="916"/>
      <c r="Q4" s="837"/>
    </row>
    <row r="5" spans="2:17" ht="18" customHeight="1" hidden="1">
      <c r="B5" s="927"/>
      <c r="C5" s="927"/>
      <c r="D5" s="927"/>
      <c r="E5" s="817"/>
      <c r="F5" s="923"/>
      <c r="G5" s="923"/>
      <c r="H5" s="923"/>
      <c r="I5" s="817"/>
      <c r="J5" s="817"/>
      <c r="N5" s="837"/>
      <c r="O5" s="919"/>
      <c r="Q5" s="837"/>
    </row>
    <row r="6" spans="2:17" ht="20.25">
      <c r="B6" s="927"/>
      <c r="C6" s="927"/>
      <c r="D6" s="927"/>
      <c r="E6" s="817"/>
      <c r="F6" s="923"/>
      <c r="G6" s="923"/>
      <c r="H6" s="923"/>
      <c r="I6" s="817"/>
      <c r="J6" s="817"/>
      <c r="N6" s="837"/>
      <c r="O6" s="925"/>
      <c r="Q6" s="837"/>
    </row>
    <row r="7" spans="2:17" ht="9" customHeight="1" hidden="1">
      <c r="B7" s="925"/>
      <c r="C7" s="925"/>
      <c r="D7" s="925"/>
      <c r="E7" s="817"/>
      <c r="F7" s="817"/>
      <c r="G7" s="817"/>
      <c r="H7" s="817"/>
      <c r="I7" s="817"/>
      <c r="J7" s="817"/>
      <c r="N7" s="837"/>
      <c r="P7" s="837"/>
      <c r="Q7" s="837"/>
    </row>
    <row r="8" spans="2:17" ht="22.5" customHeight="1" thickBot="1">
      <c r="B8" s="1498" t="str">
        <f>VLOOKUP(E15,SMETKA,3,FALSE)</f>
        <v>                                  ОТЧЕТ ЗА КАСОВОТО ИЗПЪЛНЕНИЕ НА БЮДЖЕТА</v>
      </c>
      <c r="C8" s="1063"/>
      <c r="D8" s="1063"/>
      <c r="E8" s="1064"/>
      <c r="F8" s="1064"/>
      <c r="G8" s="1064"/>
      <c r="H8" s="1064"/>
      <c r="I8" s="1064"/>
      <c r="J8" s="1065"/>
      <c r="K8" s="418"/>
      <c r="L8" s="418"/>
      <c r="M8" s="418"/>
      <c r="N8" s="837"/>
      <c r="P8" s="837"/>
      <c r="Q8" s="837"/>
    </row>
    <row r="9" spans="2:17" ht="12" customHeight="1" thickTop="1">
      <c r="B9" s="925"/>
      <c r="C9" s="925"/>
      <c r="D9" s="925"/>
      <c r="E9" s="924"/>
      <c r="F9" s="924"/>
      <c r="G9" s="924"/>
      <c r="H9" s="924"/>
      <c r="I9" s="924"/>
      <c r="J9" s="924"/>
      <c r="K9" s="419"/>
      <c r="L9" s="419"/>
      <c r="M9" s="419"/>
      <c r="N9" s="837"/>
      <c r="P9" s="837"/>
      <c r="Q9" s="837"/>
    </row>
    <row r="10" spans="2:17" ht="18.75">
      <c r="B10" s="926"/>
      <c r="C10" s="926"/>
      <c r="D10" s="926"/>
      <c r="E10" s="817"/>
      <c r="F10" s="1148"/>
      <c r="G10" s="1148"/>
      <c r="H10" s="1148"/>
      <c r="I10" s="817"/>
      <c r="J10" s="817"/>
      <c r="N10" s="837"/>
      <c r="O10" s="926"/>
      <c r="Q10" s="837"/>
    </row>
    <row r="11" spans="2:21" ht="23.25" customHeight="1">
      <c r="B11" s="1866" t="str">
        <f>+OTCHET!B9</f>
        <v>КОМИСИЯ ЗА РЕГУЛИРАНЕ НА СЪОБЩЕНИЯТА</v>
      </c>
      <c r="C11" s="1866"/>
      <c r="D11" s="1866"/>
      <c r="E11" s="1820" t="s">
        <v>131</v>
      </c>
      <c r="F11" s="1821">
        <f>OTCHET!F9</f>
        <v>43190</v>
      </c>
      <c r="G11" s="1890" t="s">
        <v>1492</v>
      </c>
      <c r="H11" s="1891">
        <f>+OTCHET!H9</f>
        <v>0</v>
      </c>
      <c r="I11" s="2104">
        <f>+OTCHET!I9</f>
        <v>0</v>
      </c>
      <c r="J11" s="2105"/>
      <c r="K11" s="420"/>
      <c r="L11" s="420"/>
      <c r="N11" s="837"/>
      <c r="O11" s="939"/>
      <c r="Q11" s="837"/>
      <c r="R11" s="1046"/>
      <c r="S11" s="1046"/>
      <c r="T11" s="1046"/>
      <c r="U11" s="1046"/>
    </row>
    <row r="12" spans="2:21" ht="23.25" customHeight="1">
      <c r="B12" s="1153" t="s">
        <v>1688</v>
      </c>
      <c r="C12" s="917"/>
      <c r="D12" s="926"/>
      <c r="E12" s="817"/>
      <c r="F12" s="918"/>
      <c r="G12" s="817"/>
      <c r="H12" s="1364"/>
      <c r="I12" s="2106" t="s">
        <v>1874</v>
      </c>
      <c r="J12" s="2106"/>
      <c r="N12" s="837"/>
      <c r="O12" s="917"/>
      <c r="Q12" s="837"/>
      <c r="R12" s="1046"/>
      <c r="S12" s="1046"/>
      <c r="T12" s="1046"/>
      <c r="U12" s="1046"/>
    </row>
    <row r="13" spans="2:21" ht="23.25" customHeight="1">
      <c r="B13" s="1062" t="str">
        <f>+OTCHET!B12</f>
        <v>Комисия за регулиране на съобщенията</v>
      </c>
      <c r="C13" s="917"/>
      <c r="D13" s="917"/>
      <c r="E13" s="1109" t="str">
        <f>+OTCHET!E12</f>
        <v>код по ЕБК:</v>
      </c>
      <c r="F13" s="1899" t="str">
        <f>+OTCHET!F12</f>
        <v>4300</v>
      </c>
      <c r="G13" s="817"/>
      <c r="H13" s="1364"/>
      <c r="I13" s="2107"/>
      <c r="J13" s="2107"/>
      <c r="N13" s="837"/>
      <c r="O13" s="917"/>
      <c r="Q13" s="837"/>
      <c r="R13" s="1046"/>
      <c r="S13" s="1046"/>
      <c r="T13" s="1046"/>
      <c r="U13" s="1046"/>
    </row>
    <row r="14" spans="2:21" ht="23.25" customHeight="1">
      <c r="B14" s="1157" t="s">
        <v>1687</v>
      </c>
      <c r="C14" s="919"/>
      <c r="D14" s="919"/>
      <c r="E14" s="919"/>
      <c r="F14" s="919"/>
      <c r="G14" s="919"/>
      <c r="H14" s="1364"/>
      <c r="I14" s="2107"/>
      <c r="J14" s="2107"/>
      <c r="N14" s="837"/>
      <c r="O14" s="919"/>
      <c r="Q14" s="837"/>
      <c r="R14" s="1046"/>
      <c r="S14" s="1046"/>
      <c r="T14" s="1046"/>
      <c r="U14" s="1046"/>
    </row>
    <row r="15" spans="2:26" ht="21.75" customHeight="1" thickBot="1">
      <c r="B15" s="1499" t="s">
        <v>1433</v>
      </c>
      <c r="C15" s="811"/>
      <c r="D15" s="811"/>
      <c r="E15" s="2015">
        <f>+OTCHET!E15</f>
        <v>0</v>
      </c>
      <c r="F15" s="1496" t="str">
        <f>OTCHET!F15</f>
        <v>БЮДЖЕТ</v>
      </c>
      <c r="G15" s="919"/>
      <c r="H15" s="835"/>
      <c r="I15" s="835"/>
      <c r="J15" s="1338"/>
      <c r="K15" s="423"/>
      <c r="L15" s="423"/>
      <c r="M15" s="424"/>
      <c r="N15" s="835"/>
      <c r="O15" s="811"/>
      <c r="P15" s="422"/>
      <c r="Q15" s="837"/>
      <c r="R15" s="1046"/>
      <c r="S15" s="1046"/>
      <c r="T15" s="1046"/>
      <c r="U15" s="1046"/>
      <c r="V15" s="1046"/>
      <c r="W15" s="1046"/>
      <c r="Y15" s="1046"/>
      <c r="Z15" s="1046"/>
    </row>
    <row r="16" spans="1:26" ht="16.5" thickBot="1">
      <c r="A16" s="1052"/>
      <c r="B16" s="920"/>
      <c r="C16" s="920"/>
      <c r="D16" s="920"/>
      <c r="E16" s="921"/>
      <c r="F16" s="921"/>
      <c r="G16" s="921"/>
      <c r="H16" s="921"/>
      <c r="I16" s="921"/>
      <c r="J16" s="1034" t="s">
        <v>1678</v>
      </c>
      <c r="K16" s="819"/>
      <c r="L16" s="819"/>
      <c r="M16" s="818"/>
      <c r="N16" s="1339"/>
      <c r="O16" s="1340"/>
      <c r="P16" s="940"/>
      <c r="Q16" s="837"/>
      <c r="R16" s="1046"/>
      <c r="S16" s="1046"/>
      <c r="T16" s="1046"/>
      <c r="U16" s="1046"/>
      <c r="V16" s="1046"/>
      <c r="W16" s="1046"/>
      <c r="Y16" s="1046"/>
      <c r="Z16" s="1046"/>
    </row>
    <row r="17" spans="1:26" ht="22.5" customHeight="1">
      <c r="A17" s="1052"/>
      <c r="B17" s="812"/>
      <c r="C17" s="813" t="s">
        <v>937</v>
      </c>
      <c r="D17" s="813"/>
      <c r="E17" s="2110" t="s">
        <v>2155</v>
      </c>
      <c r="F17" s="2112" t="s">
        <v>2156</v>
      </c>
      <c r="G17" s="1341" t="s">
        <v>1677</v>
      </c>
      <c r="H17" s="1342"/>
      <c r="I17" s="1343"/>
      <c r="J17" s="1344"/>
      <c r="K17" s="426"/>
      <c r="L17" s="426"/>
      <c r="M17" s="426"/>
      <c r="N17" s="928"/>
      <c r="O17" s="1994" t="s">
        <v>1681</v>
      </c>
      <c r="P17" s="425"/>
      <c r="Q17" s="837"/>
      <c r="R17" s="1046"/>
      <c r="S17" s="1046"/>
      <c r="T17" s="1046"/>
      <c r="U17" s="1046"/>
      <c r="V17" s="1046"/>
      <c r="W17" s="1046"/>
      <c r="X17" s="1046"/>
      <c r="Y17" s="1046"/>
      <c r="Z17" s="1046"/>
    </row>
    <row r="18" spans="1:26" ht="47.25" customHeight="1">
      <c r="A18" s="1052"/>
      <c r="B18" s="1035" t="s">
        <v>1679</v>
      </c>
      <c r="C18" s="814"/>
      <c r="D18" s="814"/>
      <c r="E18" s="2111"/>
      <c r="F18" s="2113"/>
      <c r="G18" s="1345" t="s">
        <v>1261</v>
      </c>
      <c r="H18" s="1346" t="s">
        <v>1352</v>
      </c>
      <c r="I18" s="1346" t="s">
        <v>1250</v>
      </c>
      <c r="J18" s="1347" t="s">
        <v>1251</v>
      </c>
      <c r="K18" s="427" t="s">
        <v>886</v>
      </c>
      <c r="L18" s="427" t="s">
        <v>886</v>
      </c>
      <c r="M18" s="427"/>
      <c r="N18" s="929"/>
      <c r="O18" s="1995"/>
      <c r="P18" s="425"/>
      <c r="Q18" s="940"/>
      <c r="R18" s="1046"/>
      <c r="S18" s="1046"/>
      <c r="T18" s="1046"/>
      <c r="U18" s="1046"/>
      <c r="V18" s="1046"/>
      <c r="W18" s="1046"/>
      <c r="X18" s="1046"/>
      <c r="Y18" s="1046"/>
      <c r="Z18" s="1046"/>
    </row>
    <row r="19" spans="1:26" ht="15.75" hidden="1">
      <c r="A19" s="1052"/>
      <c r="B19" s="815"/>
      <c r="C19" s="815"/>
      <c r="D19" s="815"/>
      <c r="E19" s="1036"/>
      <c r="F19" s="1036"/>
      <c r="G19" s="1037"/>
      <c r="H19" s="1038"/>
      <c r="I19" s="1038"/>
      <c r="J19" s="1039"/>
      <c r="K19" s="428"/>
      <c r="L19" s="428"/>
      <c r="M19" s="428"/>
      <c r="N19" s="929"/>
      <c r="O19" s="1068"/>
      <c r="P19" s="425"/>
      <c r="Q19" s="940"/>
      <c r="R19" s="1046"/>
      <c r="S19" s="1046"/>
      <c r="T19" s="1046"/>
      <c r="U19" s="1046"/>
      <c r="V19" s="1046"/>
      <c r="W19" s="1046"/>
      <c r="X19" s="1046"/>
      <c r="Y19" s="1046"/>
      <c r="Z19" s="1046"/>
    </row>
    <row r="20" spans="1:26" ht="16.5" thickBot="1">
      <c r="A20" s="1052"/>
      <c r="B20" s="1497" t="s">
        <v>1432</v>
      </c>
      <c r="C20" s="1040"/>
      <c r="D20" s="1040"/>
      <c r="E20" s="1134" t="s">
        <v>604</v>
      </c>
      <c r="F20" s="1134" t="s">
        <v>605</v>
      </c>
      <c r="G20" s="1135" t="s">
        <v>1365</v>
      </c>
      <c r="H20" s="1136" t="s">
        <v>1366</v>
      </c>
      <c r="I20" s="1136" t="s">
        <v>1339</v>
      </c>
      <c r="J20" s="1137" t="s">
        <v>1232</v>
      </c>
      <c r="K20" s="429" t="s">
        <v>888</v>
      </c>
      <c r="L20" s="429" t="s">
        <v>890</v>
      </c>
      <c r="M20" s="429" t="s">
        <v>890</v>
      </c>
      <c r="N20" s="930"/>
      <c r="O20" s="1069"/>
      <c r="P20" s="422"/>
      <c r="Q20" s="940"/>
      <c r="R20" s="1046"/>
      <c r="S20" s="1046"/>
      <c r="T20" s="1046"/>
      <c r="U20" s="1046"/>
      <c r="V20" s="1046"/>
      <c r="W20" s="1046"/>
      <c r="X20" s="1046"/>
      <c r="Y20" s="1046"/>
      <c r="Z20" s="1046"/>
    </row>
    <row r="21" spans="1:26" ht="15.75">
      <c r="A21" s="1052"/>
      <c r="B21" s="816"/>
      <c r="C21" s="816"/>
      <c r="D21" s="816"/>
      <c r="E21" s="820"/>
      <c r="F21" s="820"/>
      <c r="G21" s="944"/>
      <c r="H21" s="945"/>
      <c r="I21" s="945"/>
      <c r="J21" s="946"/>
      <c r="K21" s="430"/>
      <c r="L21" s="430"/>
      <c r="M21" s="430"/>
      <c r="N21" s="931"/>
      <c r="O21" s="1070"/>
      <c r="P21" s="421"/>
      <c r="Q21" s="940"/>
      <c r="R21" s="1046"/>
      <c r="S21" s="1046"/>
      <c r="T21" s="1046"/>
      <c r="U21" s="1046"/>
      <c r="V21" s="1046"/>
      <c r="W21" s="1046"/>
      <c r="X21" s="1046"/>
      <c r="Y21" s="1046"/>
      <c r="Z21" s="1046"/>
    </row>
    <row r="22" spans="1:26" ht="19.5" thickBot="1">
      <c r="A22" s="1052">
        <v>10</v>
      </c>
      <c r="B22" s="848" t="s">
        <v>2182</v>
      </c>
      <c r="C22" s="849" t="s">
        <v>606</v>
      </c>
      <c r="D22" s="850"/>
      <c r="E22" s="851">
        <f aca="true" t="shared" si="0" ref="E22:J22">+E23+E25+E36+E37</f>
        <v>63200000</v>
      </c>
      <c r="F22" s="851">
        <f t="shared" si="0"/>
        <v>43990366</v>
      </c>
      <c r="G22" s="947">
        <f t="shared" si="0"/>
        <v>43947632</v>
      </c>
      <c r="H22" s="948">
        <f t="shared" si="0"/>
        <v>0</v>
      </c>
      <c r="I22" s="948">
        <f t="shared" si="0"/>
        <v>4806</v>
      </c>
      <c r="J22" s="949">
        <f t="shared" si="0"/>
        <v>37928</v>
      </c>
      <c r="K22" s="431">
        <f>+K23+K25+K35+K36+K37</f>
        <v>0</v>
      </c>
      <c r="L22" s="431">
        <f>+L23+L25+L35+L36+L37</f>
        <v>0</v>
      </c>
      <c r="M22" s="431">
        <f>+M23+M25+M35+M36</f>
        <v>0</v>
      </c>
      <c r="N22" s="932"/>
      <c r="O22" s="1071" t="s">
        <v>606</v>
      </c>
      <c r="P22" s="432"/>
      <c r="Q22" s="940"/>
      <c r="R22" s="1046"/>
      <c r="S22" s="1046"/>
      <c r="T22" s="1046"/>
      <c r="U22" s="1046"/>
      <c r="V22" s="1046"/>
      <c r="W22" s="1046"/>
      <c r="X22" s="1046"/>
      <c r="Y22" s="1046"/>
      <c r="Z22" s="1046"/>
    </row>
    <row r="23" spans="1:26" ht="16.5" thickTop="1">
      <c r="A23" s="1052">
        <v>15</v>
      </c>
      <c r="B23" s="846" t="s">
        <v>916</v>
      </c>
      <c r="C23" s="846" t="s">
        <v>1578</v>
      </c>
      <c r="D23" s="846"/>
      <c r="E23" s="858">
        <f>OTCHET!E22+OTCHET!E28+OTCHET!E33+OTCHET!E39+OTCHET!E47+OTCHET!E52+OTCHET!E58+OTCHET!E61+OTCHET!E64+OTCHET!E65+OTCHET!E72+OTCHET!E73+OTCHET!E74</f>
        <v>0</v>
      </c>
      <c r="F23" s="858">
        <f aca="true" t="shared" si="1" ref="F23:F88">+G23+H23+I23+J23</f>
        <v>0</v>
      </c>
      <c r="G23" s="950">
        <f>OTCHET!G22+OTCHET!G28+OTCHET!G33+OTCHET!G39+OTCHET!G47+OTCHET!G52+OTCHET!G58+OTCHET!G61+OTCHET!G64+OTCHET!G65+OTCHET!G72+OTCHET!G73+OTCHET!G74</f>
        <v>0</v>
      </c>
      <c r="H23" s="951">
        <f>OTCHET!H22+OTCHET!H28+OTCHET!H33+OTCHET!H39+OTCHET!H47+OTCHET!H52+OTCHET!H58+OTCHET!H61+OTCHET!H64+OTCHET!H65+OTCHET!H72+OTCHET!H73+OTCHET!H74</f>
        <v>0</v>
      </c>
      <c r="I23" s="951">
        <f>OTCHET!I22+OTCHET!I28+OTCHET!I33+OTCHET!I39+OTCHET!I47+OTCHET!I52+OTCHET!I58+OTCHET!I61+OTCHET!I64+OTCHET!I65+OTCHET!I72+OTCHET!I73+OTCHET!I74</f>
        <v>0</v>
      </c>
      <c r="J23" s="952">
        <f>OTCHET!J22+OTCHET!J28+OTCHET!J33+OTCHET!J39+OTCHET!J47+OTCHET!J52+OTCHET!J58+OTCHET!J61+OTCHET!J64+OTCHET!J65+OTCHET!J72+OTCHET!J73+OTCHET!J74</f>
        <v>0</v>
      </c>
      <c r="K23" s="433"/>
      <c r="L23" s="433"/>
      <c r="M23" s="433"/>
      <c r="N23" s="933"/>
      <c r="O23" s="1072" t="s">
        <v>1578</v>
      </c>
      <c r="P23" s="434"/>
      <c r="Q23" s="940"/>
      <c r="R23" s="1046"/>
      <c r="S23" s="1046"/>
      <c r="T23" s="1046"/>
      <c r="U23" s="1046"/>
      <c r="V23" s="1046"/>
      <c r="W23" s="1046"/>
      <c r="X23" s="1046"/>
      <c r="Y23" s="1046"/>
      <c r="Z23" s="1046"/>
    </row>
    <row r="24" spans="1:26" ht="16.5" customHeight="1" hidden="1">
      <c r="A24" s="1052"/>
      <c r="B24" s="867" t="s">
        <v>1556</v>
      </c>
      <c r="C24" s="867" t="s">
        <v>1553</v>
      </c>
      <c r="D24" s="867"/>
      <c r="E24" s="861"/>
      <c r="F24" s="861">
        <f t="shared" si="1"/>
        <v>0</v>
      </c>
      <c r="G24" s="953"/>
      <c r="H24" s="954"/>
      <c r="I24" s="954"/>
      <c r="J24" s="955"/>
      <c r="K24" s="435"/>
      <c r="L24" s="435"/>
      <c r="M24" s="435"/>
      <c r="N24" s="933"/>
      <c r="O24" s="1073" t="s">
        <v>1553</v>
      </c>
      <c r="P24" s="434"/>
      <c r="Q24" s="940"/>
      <c r="R24" s="1046"/>
      <c r="S24" s="1046"/>
      <c r="T24" s="1046"/>
      <c r="U24" s="1046"/>
      <c r="V24" s="1046"/>
      <c r="W24" s="1046"/>
      <c r="X24" s="1046"/>
      <c r="Y24" s="1046"/>
      <c r="Z24" s="1046"/>
    </row>
    <row r="25" spans="1:26" ht="16.5" thickBot="1">
      <c r="A25" s="1052">
        <v>20</v>
      </c>
      <c r="B25" s="807" t="s">
        <v>1243</v>
      </c>
      <c r="C25" s="807" t="s">
        <v>896</v>
      </c>
      <c r="D25" s="807"/>
      <c r="E25" s="865">
        <f>+E26+E30+E31+E32+E33</f>
        <v>63200000</v>
      </c>
      <c r="F25" s="865">
        <f>+F26+F30+F31+F32+F33</f>
        <v>43990366</v>
      </c>
      <c r="G25" s="956">
        <f aca="true" t="shared" si="2" ref="G25:M25">+G26+G30+G31+G32+G33</f>
        <v>43947632</v>
      </c>
      <c r="H25" s="957">
        <f>+H26+H30+H31+H32+H33</f>
        <v>0</v>
      </c>
      <c r="I25" s="957">
        <f>+I26+I30+I31+I32+I33</f>
        <v>4806</v>
      </c>
      <c r="J25" s="958">
        <f>+J26+J30+J31+J32+J33</f>
        <v>37928</v>
      </c>
      <c r="K25" s="431">
        <f t="shared" si="2"/>
        <v>0</v>
      </c>
      <c r="L25" s="431">
        <f t="shared" si="2"/>
        <v>0</v>
      </c>
      <c r="M25" s="431">
        <f t="shared" si="2"/>
        <v>0</v>
      </c>
      <c r="N25" s="933"/>
      <c r="O25" s="1074" t="s">
        <v>896</v>
      </c>
      <c r="P25" s="434"/>
      <c r="Q25" s="940"/>
      <c r="R25" s="1046"/>
      <c r="S25" s="1046"/>
      <c r="T25" s="1046"/>
      <c r="U25" s="1046"/>
      <c r="V25" s="1046"/>
      <c r="W25" s="1046"/>
      <c r="X25" s="1046"/>
      <c r="Y25" s="1046"/>
      <c r="Z25" s="1046"/>
    </row>
    <row r="26" spans="1:26" ht="15.75">
      <c r="A26" s="1052">
        <v>25</v>
      </c>
      <c r="B26" s="809" t="s">
        <v>917</v>
      </c>
      <c r="C26" s="809" t="s">
        <v>897</v>
      </c>
      <c r="D26" s="809"/>
      <c r="E26" s="864">
        <f>OTCHET!E75</f>
        <v>0</v>
      </c>
      <c r="F26" s="864">
        <f t="shared" si="1"/>
        <v>0</v>
      </c>
      <c r="G26" s="959">
        <f>OTCHET!G75</f>
        <v>0</v>
      </c>
      <c r="H26" s="960">
        <f>OTCHET!H75</f>
        <v>0</v>
      </c>
      <c r="I26" s="960">
        <f>OTCHET!I75</f>
        <v>0</v>
      </c>
      <c r="J26" s="961">
        <f>OTCHET!J75</f>
        <v>0</v>
      </c>
      <c r="K26" s="435"/>
      <c r="L26" s="435"/>
      <c r="M26" s="435"/>
      <c r="N26" s="933"/>
      <c r="O26" s="1075" t="s">
        <v>897</v>
      </c>
      <c r="P26" s="434"/>
      <c r="Q26" s="940"/>
      <c r="R26" s="1046"/>
      <c r="S26" s="1046"/>
      <c r="T26" s="1046"/>
      <c r="U26" s="1046"/>
      <c r="V26" s="1046"/>
      <c r="W26" s="1046"/>
      <c r="X26" s="1046"/>
      <c r="Y26" s="1046"/>
      <c r="Z26" s="1046"/>
    </row>
    <row r="27" spans="1:26" ht="15.75">
      <c r="A27" s="1052">
        <v>26</v>
      </c>
      <c r="B27" s="852" t="s">
        <v>1673</v>
      </c>
      <c r="C27" s="853" t="s">
        <v>1557</v>
      </c>
      <c r="D27" s="852"/>
      <c r="E27" s="911">
        <f>OTCHET!E76</f>
        <v>0</v>
      </c>
      <c r="F27" s="911">
        <f t="shared" si="1"/>
        <v>0</v>
      </c>
      <c r="G27" s="962">
        <f>OTCHET!G76</f>
        <v>0</v>
      </c>
      <c r="H27" s="963">
        <f>OTCHET!H76</f>
        <v>0</v>
      </c>
      <c r="I27" s="963">
        <f>OTCHET!I76</f>
        <v>0</v>
      </c>
      <c r="J27" s="964">
        <f>OTCHET!J76</f>
        <v>0</v>
      </c>
      <c r="K27" s="437"/>
      <c r="L27" s="437"/>
      <c r="M27" s="437"/>
      <c r="N27" s="933"/>
      <c r="O27" s="1041" t="s">
        <v>1557</v>
      </c>
      <c r="P27" s="434"/>
      <c r="Q27" s="940"/>
      <c r="R27" s="1046"/>
      <c r="S27" s="1046"/>
      <c r="T27" s="1046"/>
      <c r="U27" s="1046"/>
      <c r="V27" s="1046"/>
      <c r="W27" s="1046"/>
      <c r="X27" s="1046"/>
      <c r="Y27" s="1046"/>
      <c r="Z27" s="1046"/>
    </row>
    <row r="28" spans="1:26" ht="15.75">
      <c r="A28" s="1052">
        <v>30</v>
      </c>
      <c r="B28" s="854" t="s">
        <v>1554</v>
      </c>
      <c r="C28" s="855" t="s">
        <v>1558</v>
      </c>
      <c r="D28" s="854"/>
      <c r="E28" s="912">
        <f>OTCHET!E78</f>
        <v>0</v>
      </c>
      <c r="F28" s="912">
        <f t="shared" si="1"/>
        <v>0</v>
      </c>
      <c r="G28" s="965">
        <f>OTCHET!G78</f>
        <v>0</v>
      </c>
      <c r="H28" s="966">
        <f>OTCHET!H78</f>
        <v>0</v>
      </c>
      <c r="I28" s="966">
        <f>OTCHET!I78</f>
        <v>0</v>
      </c>
      <c r="J28" s="967">
        <f>OTCHET!J78</f>
        <v>0</v>
      </c>
      <c r="K28" s="436"/>
      <c r="L28" s="436"/>
      <c r="M28" s="436"/>
      <c r="N28" s="933"/>
      <c r="O28" s="1042" t="s">
        <v>1558</v>
      </c>
      <c r="P28" s="434"/>
      <c r="Q28" s="940"/>
      <c r="R28" s="1046"/>
      <c r="S28" s="1046"/>
      <c r="T28" s="1046"/>
      <c r="U28" s="1046"/>
      <c r="V28" s="1046"/>
      <c r="W28" s="1046"/>
      <c r="X28" s="1046"/>
      <c r="Y28" s="1046"/>
      <c r="Z28" s="1046"/>
    </row>
    <row r="29" spans="1:26" ht="15.75">
      <c r="A29" s="1052">
        <v>35</v>
      </c>
      <c r="B29" s="856" t="s">
        <v>918</v>
      </c>
      <c r="C29" s="857" t="s">
        <v>1559</v>
      </c>
      <c r="D29" s="856"/>
      <c r="E29" s="913">
        <f>+OTCHET!E79+OTCHET!E80</f>
        <v>0</v>
      </c>
      <c r="F29" s="913">
        <f t="shared" si="1"/>
        <v>0</v>
      </c>
      <c r="G29" s="968">
        <f>+OTCHET!G79+OTCHET!G80</f>
        <v>0</v>
      </c>
      <c r="H29" s="969">
        <f>+OTCHET!H79+OTCHET!H80</f>
        <v>0</v>
      </c>
      <c r="I29" s="969">
        <f>+OTCHET!I79+OTCHET!I80</f>
        <v>0</v>
      </c>
      <c r="J29" s="970">
        <f>+OTCHET!J79+OTCHET!J80</f>
        <v>0</v>
      </c>
      <c r="K29" s="436"/>
      <c r="L29" s="436"/>
      <c r="M29" s="436"/>
      <c r="N29" s="933"/>
      <c r="O29" s="1043" t="s">
        <v>1559</v>
      </c>
      <c r="P29" s="434"/>
      <c r="Q29" s="940"/>
      <c r="R29" s="1046"/>
      <c r="S29" s="1046"/>
      <c r="T29" s="1046"/>
      <c r="U29" s="1046"/>
      <c r="V29" s="1046"/>
      <c r="W29" s="1046"/>
      <c r="X29" s="1046"/>
      <c r="Y29" s="1046"/>
      <c r="Z29" s="1046"/>
    </row>
    <row r="30" spans="1:26" ht="15.75">
      <c r="A30" s="1052">
        <v>40</v>
      </c>
      <c r="B30" s="842" t="s">
        <v>2184</v>
      </c>
      <c r="C30" s="842" t="s">
        <v>1560</v>
      </c>
      <c r="D30" s="842"/>
      <c r="E30" s="860">
        <f>OTCHET!E91+OTCHET!E94+OTCHET!E95</f>
        <v>62950000</v>
      </c>
      <c r="F30" s="860">
        <f t="shared" si="1"/>
        <v>43785780</v>
      </c>
      <c r="G30" s="971">
        <f>OTCHET!G91+OTCHET!G94+OTCHET!G95</f>
        <v>43699714</v>
      </c>
      <c r="H30" s="972">
        <f>OTCHET!H91+OTCHET!H94+OTCHET!H95</f>
        <v>0</v>
      </c>
      <c r="I30" s="972">
        <f>OTCHET!I91+OTCHET!I94+OTCHET!I95</f>
        <v>4792</v>
      </c>
      <c r="J30" s="973">
        <f>OTCHET!J91+OTCHET!J94+OTCHET!J95</f>
        <v>81274</v>
      </c>
      <c r="K30" s="436"/>
      <c r="L30" s="436"/>
      <c r="M30" s="436"/>
      <c r="N30" s="933"/>
      <c r="O30" s="1076" t="s">
        <v>1560</v>
      </c>
      <c r="P30" s="434"/>
      <c r="Q30" s="940"/>
      <c r="R30" s="1046"/>
      <c r="S30" s="1046"/>
      <c r="T30" s="1046"/>
      <c r="U30" s="1046"/>
      <c r="V30" s="1046"/>
      <c r="W30" s="1046"/>
      <c r="X30" s="1046"/>
      <c r="Y30" s="1046"/>
      <c r="Z30" s="1046"/>
    </row>
    <row r="31" spans="1:26" ht="15.75">
      <c r="A31" s="1052">
        <v>45</v>
      </c>
      <c r="B31" s="843" t="s">
        <v>1536</v>
      </c>
      <c r="C31" s="843" t="s">
        <v>898</v>
      </c>
      <c r="D31" s="843"/>
      <c r="E31" s="859">
        <f>OTCHET!E109</f>
        <v>250000</v>
      </c>
      <c r="F31" s="859">
        <f t="shared" si="1"/>
        <v>250051</v>
      </c>
      <c r="G31" s="974">
        <f>OTCHET!G109</f>
        <v>246118</v>
      </c>
      <c r="H31" s="975">
        <f>OTCHET!H109</f>
        <v>0</v>
      </c>
      <c r="I31" s="975">
        <f>OTCHET!I109</f>
        <v>14</v>
      </c>
      <c r="J31" s="976">
        <f>OTCHET!J109</f>
        <v>3919</v>
      </c>
      <c r="K31" s="436"/>
      <c r="L31" s="436"/>
      <c r="M31" s="436"/>
      <c r="N31" s="933"/>
      <c r="O31" s="1077" t="s">
        <v>898</v>
      </c>
      <c r="P31" s="434"/>
      <c r="Q31" s="940"/>
      <c r="R31" s="1046"/>
      <c r="S31" s="1046"/>
      <c r="T31" s="1046"/>
      <c r="U31" s="1046"/>
      <c r="V31" s="1046"/>
      <c r="W31" s="1046"/>
      <c r="X31" s="1046"/>
      <c r="Y31" s="1046"/>
      <c r="Z31" s="1046"/>
    </row>
    <row r="32" spans="1:26" ht="15.75">
      <c r="A32" s="1052">
        <v>50</v>
      </c>
      <c r="B32" s="843" t="s">
        <v>1537</v>
      </c>
      <c r="C32" s="843" t="s">
        <v>980</v>
      </c>
      <c r="D32" s="843"/>
      <c r="E32" s="859">
        <f>OTCHET!E113+OTCHET!E122+OTCHET!E138+OTCHET!E139</f>
        <v>0</v>
      </c>
      <c r="F32" s="859">
        <f t="shared" si="1"/>
        <v>-45465</v>
      </c>
      <c r="G32" s="974">
        <f>OTCHET!G113+OTCHET!G122+OTCHET!G138+OTCHET!G139</f>
        <v>1800</v>
      </c>
      <c r="H32" s="975">
        <f>OTCHET!H113+OTCHET!H122+OTCHET!H138+OTCHET!H139</f>
        <v>0</v>
      </c>
      <c r="I32" s="975">
        <f>OTCHET!I113+OTCHET!I122+OTCHET!I138+OTCHET!I139</f>
        <v>0</v>
      </c>
      <c r="J32" s="976">
        <f>OTCHET!J113+OTCHET!J122+OTCHET!J138+OTCHET!J139</f>
        <v>-47265</v>
      </c>
      <c r="K32" s="438"/>
      <c r="L32" s="438"/>
      <c r="M32" s="438"/>
      <c r="N32" s="933"/>
      <c r="O32" s="1077" t="s">
        <v>980</v>
      </c>
      <c r="P32" s="434"/>
      <c r="Q32" s="940"/>
      <c r="R32" s="1046"/>
      <c r="S32" s="1046"/>
      <c r="T32" s="1046"/>
      <c r="U32" s="1046"/>
      <c r="V32" s="1046"/>
      <c r="W32" s="1046"/>
      <c r="X32" s="1046"/>
      <c r="Y32" s="1046"/>
      <c r="Z32" s="1046"/>
    </row>
    <row r="33" spans="1:26" ht="16.5" thickBot="1">
      <c r="A33" s="1052">
        <v>51</v>
      </c>
      <c r="B33" s="844" t="s">
        <v>940</v>
      </c>
      <c r="C33" s="845" t="s">
        <v>1590</v>
      </c>
      <c r="D33" s="844"/>
      <c r="E33" s="861">
        <f>OTCHET!E126</f>
        <v>0</v>
      </c>
      <c r="F33" s="861">
        <f t="shared" si="1"/>
        <v>0</v>
      </c>
      <c r="G33" s="953">
        <f>OTCHET!G126</f>
        <v>0</v>
      </c>
      <c r="H33" s="954">
        <f>OTCHET!H126</f>
        <v>0</v>
      </c>
      <c r="I33" s="954">
        <f>OTCHET!I126</f>
        <v>0</v>
      </c>
      <c r="J33" s="955">
        <f>OTCHET!J126</f>
        <v>0</v>
      </c>
      <c r="K33" s="438"/>
      <c r="L33" s="438"/>
      <c r="M33" s="438"/>
      <c r="N33" s="933"/>
      <c r="O33" s="1073" t="s">
        <v>1590</v>
      </c>
      <c r="P33" s="434"/>
      <c r="Q33" s="940"/>
      <c r="R33" s="1046"/>
      <c r="S33" s="1046"/>
      <c r="T33" s="1046"/>
      <c r="U33" s="1046"/>
      <c r="V33" s="1046"/>
      <c r="W33" s="1046"/>
      <c r="X33" s="1046"/>
      <c r="Y33" s="1046"/>
      <c r="Z33" s="1046"/>
    </row>
    <row r="34" spans="1:26" ht="16.5" customHeight="1" hidden="1" thickBot="1">
      <c r="A34" s="1052">
        <v>52</v>
      </c>
      <c r="B34" s="806"/>
      <c r="C34" s="808"/>
      <c r="D34" s="808"/>
      <c r="E34" s="862"/>
      <c r="F34" s="862">
        <f t="shared" si="1"/>
        <v>0</v>
      </c>
      <c r="G34" s="977"/>
      <c r="H34" s="978"/>
      <c r="I34" s="978"/>
      <c r="J34" s="979"/>
      <c r="K34" s="438"/>
      <c r="L34" s="438"/>
      <c r="M34" s="438"/>
      <c r="N34" s="933"/>
      <c r="O34" s="1078"/>
      <c r="P34" s="434"/>
      <c r="Q34" s="940"/>
      <c r="R34" s="1046"/>
      <c r="S34" s="1046"/>
      <c r="T34" s="1046"/>
      <c r="U34" s="1046"/>
      <c r="V34" s="1046"/>
      <c r="W34" s="1046"/>
      <c r="X34" s="1046"/>
      <c r="Y34" s="1046"/>
      <c r="Z34" s="1046"/>
    </row>
    <row r="35" spans="1:26" ht="16.5" customHeight="1" hidden="1" thickBot="1">
      <c r="A35" s="1052"/>
      <c r="B35" s="810"/>
      <c r="C35" s="810"/>
      <c r="D35" s="810"/>
      <c r="E35" s="863"/>
      <c r="F35" s="863">
        <f t="shared" si="1"/>
        <v>0</v>
      </c>
      <c r="G35" s="980"/>
      <c r="H35" s="981"/>
      <c r="I35" s="981"/>
      <c r="J35" s="982"/>
      <c r="K35" s="439"/>
      <c r="L35" s="439"/>
      <c r="M35" s="439"/>
      <c r="N35" s="933"/>
      <c r="O35" s="1079"/>
      <c r="P35" s="434"/>
      <c r="Q35" s="940"/>
      <c r="R35" s="1046"/>
      <c r="S35" s="1046"/>
      <c r="T35" s="1046"/>
      <c r="U35" s="1046"/>
      <c r="V35" s="1046"/>
      <c r="W35" s="1046"/>
      <c r="X35" s="1046"/>
      <c r="Y35" s="1046"/>
      <c r="Z35" s="1046"/>
    </row>
    <row r="36" spans="1:26" ht="16.5" thickBot="1">
      <c r="A36" s="1052">
        <v>60</v>
      </c>
      <c r="B36" s="838" t="s">
        <v>1548</v>
      </c>
      <c r="C36" s="838" t="s">
        <v>899</v>
      </c>
      <c r="D36" s="838"/>
      <c r="E36" s="839">
        <f>+OTCHET!E140</f>
        <v>0</v>
      </c>
      <c r="F36" s="839">
        <f t="shared" si="1"/>
        <v>0</v>
      </c>
      <c r="G36" s="983">
        <f>+OTCHET!G140</f>
        <v>0</v>
      </c>
      <c r="H36" s="984">
        <f>+OTCHET!H140</f>
        <v>0</v>
      </c>
      <c r="I36" s="984">
        <f>+OTCHET!I140</f>
        <v>0</v>
      </c>
      <c r="J36" s="985">
        <f>+OTCHET!J140</f>
        <v>0</v>
      </c>
      <c r="K36" s="440"/>
      <c r="L36" s="440"/>
      <c r="M36" s="440"/>
      <c r="N36" s="934"/>
      <c r="O36" s="1080" t="s">
        <v>899</v>
      </c>
      <c r="P36" s="434"/>
      <c r="Q36" s="940"/>
      <c r="R36" s="1046"/>
      <c r="S36" s="1046"/>
      <c r="T36" s="1046"/>
      <c r="U36" s="1046"/>
      <c r="V36" s="1046"/>
      <c r="W36" s="1046"/>
      <c r="X36" s="1046"/>
      <c r="Y36" s="1046"/>
      <c r="Z36" s="1046"/>
    </row>
    <row r="37" spans="1:26" ht="15.75">
      <c r="A37" s="1052">
        <v>65</v>
      </c>
      <c r="B37" s="840" t="s">
        <v>1041</v>
      </c>
      <c r="C37" s="840" t="s">
        <v>607</v>
      </c>
      <c r="D37" s="840"/>
      <c r="E37" s="841">
        <f>OTCHET!E143+OTCHET!E152+OTCHET!E161</f>
        <v>0</v>
      </c>
      <c r="F37" s="841">
        <f t="shared" si="1"/>
        <v>0</v>
      </c>
      <c r="G37" s="986">
        <f>OTCHET!G143+OTCHET!G152+OTCHET!G161</f>
        <v>0</v>
      </c>
      <c r="H37" s="987">
        <f>OTCHET!H143+OTCHET!H152+OTCHET!H161</f>
        <v>0</v>
      </c>
      <c r="I37" s="987">
        <f>OTCHET!I143+OTCHET!I152+OTCHET!I161</f>
        <v>0</v>
      </c>
      <c r="J37" s="988">
        <f>OTCHET!J143+OTCHET!J152+OTCHET!J161</f>
        <v>0</v>
      </c>
      <c r="K37" s="441"/>
      <c r="L37" s="441"/>
      <c r="M37" s="441"/>
      <c r="N37" s="934"/>
      <c r="O37" s="1081" t="s">
        <v>607</v>
      </c>
      <c r="P37" s="434"/>
      <c r="Q37" s="938"/>
      <c r="R37" s="1046"/>
      <c r="S37" s="1046"/>
      <c r="T37" s="1046"/>
      <c r="U37" s="1046"/>
      <c r="V37" s="1046"/>
      <c r="W37" s="1046"/>
      <c r="X37" s="1046"/>
      <c r="Y37" s="1046"/>
      <c r="Z37" s="1046"/>
    </row>
    <row r="38" spans="1:26" ht="19.5" thickBot="1">
      <c r="A38" s="837">
        <v>70</v>
      </c>
      <c r="B38" s="871" t="s">
        <v>924</v>
      </c>
      <c r="C38" s="872" t="s">
        <v>903</v>
      </c>
      <c r="D38" s="850"/>
      <c r="E38" s="851">
        <f aca="true" t="shared" si="3" ref="E38:J38">E39+E43+E44+E46+SUM(E48:E52)+E55</f>
        <v>9669200</v>
      </c>
      <c r="F38" s="851">
        <f t="shared" si="3"/>
        <v>1621894</v>
      </c>
      <c r="G38" s="1959">
        <f t="shared" si="3"/>
        <v>1179379</v>
      </c>
      <c r="H38" s="1960">
        <f t="shared" si="3"/>
        <v>0</v>
      </c>
      <c r="I38" s="1960">
        <f t="shared" si="3"/>
        <v>43420</v>
      </c>
      <c r="J38" s="1961">
        <f t="shared" si="3"/>
        <v>399095</v>
      </c>
      <c r="K38" s="442">
        <f>SUM(K40:K54)-K45-K47-K53</f>
        <v>0</v>
      </c>
      <c r="L38" s="442">
        <f>SUM(L40:L54)-L45-L47-L53</f>
        <v>0</v>
      </c>
      <c r="M38" s="442">
        <f>SUM(M40:M53)-M45-M52</f>
        <v>0</v>
      </c>
      <c r="N38" s="933"/>
      <c r="O38" s="1071" t="s">
        <v>903</v>
      </c>
      <c r="P38" s="443"/>
      <c r="Q38" s="941"/>
      <c r="R38" s="1047"/>
      <c r="S38" s="1047"/>
      <c r="T38" s="1047"/>
      <c r="U38" s="1047"/>
      <c r="V38" s="1047"/>
      <c r="W38" s="1047"/>
      <c r="X38" s="1048"/>
      <c r="Y38" s="1047"/>
      <c r="Z38" s="1047"/>
    </row>
    <row r="39" spans="1:26" ht="17.25" thickBot="1" thickTop="1">
      <c r="A39" s="837">
        <v>75</v>
      </c>
      <c r="B39" s="1962" t="s">
        <v>2139</v>
      </c>
      <c r="C39" s="1963" t="s">
        <v>900</v>
      </c>
      <c r="D39" s="1962"/>
      <c r="E39" s="1964">
        <f aca="true" t="shared" si="4" ref="E39:J39">SUM(E40:E42)</f>
        <v>6030000</v>
      </c>
      <c r="F39" s="1964">
        <f t="shared" si="4"/>
        <v>1358774</v>
      </c>
      <c r="G39" s="1965">
        <f t="shared" si="4"/>
        <v>959679</v>
      </c>
      <c r="H39" s="1966">
        <f t="shared" si="4"/>
        <v>0</v>
      </c>
      <c r="I39" s="1966">
        <f t="shared" si="4"/>
        <v>0</v>
      </c>
      <c r="J39" s="1967">
        <f t="shared" si="4"/>
        <v>399095</v>
      </c>
      <c r="K39" s="435"/>
      <c r="L39" s="435"/>
      <c r="M39" s="435"/>
      <c r="N39" s="935"/>
      <c r="O39" s="1072" t="s">
        <v>2146</v>
      </c>
      <c r="P39" s="443"/>
      <c r="Q39" s="941"/>
      <c r="R39" s="1047"/>
      <c r="S39" s="1047"/>
      <c r="T39" s="1047"/>
      <c r="U39" s="1047"/>
      <c r="V39" s="1047"/>
      <c r="W39" s="1047"/>
      <c r="X39" s="1048"/>
      <c r="Y39" s="1047"/>
      <c r="Z39" s="1047"/>
    </row>
    <row r="40" spans="1:26" ht="15.75">
      <c r="A40" s="837">
        <v>75</v>
      </c>
      <c r="B40" s="1968" t="s">
        <v>2140</v>
      </c>
      <c r="C40" s="1969" t="s">
        <v>900</v>
      </c>
      <c r="D40" s="1980"/>
      <c r="E40" s="1986">
        <f>OTCHET!E188</f>
        <v>4465000</v>
      </c>
      <c r="F40" s="1986">
        <f t="shared" si="1"/>
        <v>1014708</v>
      </c>
      <c r="G40" s="1983">
        <f>OTCHET!G188</f>
        <v>899651</v>
      </c>
      <c r="H40" s="1970">
        <f>OTCHET!H188</f>
        <v>0</v>
      </c>
      <c r="I40" s="1970">
        <f>OTCHET!I188</f>
        <v>0</v>
      </c>
      <c r="J40" s="1971">
        <f>OTCHET!J188</f>
        <v>115057</v>
      </c>
      <c r="K40" s="435"/>
      <c r="L40" s="435"/>
      <c r="M40" s="435"/>
      <c r="N40" s="935"/>
      <c r="O40" s="1083" t="s">
        <v>900</v>
      </c>
      <c r="P40" s="443"/>
      <c r="Q40" s="941"/>
      <c r="R40" s="1047"/>
      <c r="S40" s="1047"/>
      <c r="T40" s="1047"/>
      <c r="U40" s="1047"/>
      <c r="V40" s="1047"/>
      <c r="W40" s="1047"/>
      <c r="X40" s="1048"/>
      <c r="Y40" s="1047"/>
      <c r="Z40" s="1047"/>
    </row>
    <row r="41" spans="1:26" ht="15.75">
      <c r="A41" s="837">
        <v>80</v>
      </c>
      <c r="B41" s="1972" t="s">
        <v>2141</v>
      </c>
      <c r="C41" s="1973" t="s">
        <v>901</v>
      </c>
      <c r="D41" s="1981"/>
      <c r="E41" s="1987">
        <f>OTCHET!E191</f>
        <v>372000</v>
      </c>
      <c r="F41" s="1987">
        <f t="shared" si="1"/>
        <v>62138</v>
      </c>
      <c r="G41" s="1984">
        <f>OTCHET!G191</f>
        <v>60028</v>
      </c>
      <c r="H41" s="1974">
        <f>OTCHET!H191</f>
        <v>0</v>
      </c>
      <c r="I41" s="1974">
        <f>OTCHET!I191</f>
        <v>0</v>
      </c>
      <c r="J41" s="1975">
        <f>OTCHET!J191</f>
        <v>2110</v>
      </c>
      <c r="K41" s="436"/>
      <c r="L41" s="436"/>
      <c r="M41" s="436"/>
      <c r="N41" s="935"/>
      <c r="O41" s="1077" t="s">
        <v>901</v>
      </c>
      <c r="P41" s="443"/>
      <c r="Q41" s="941"/>
      <c r="R41" s="1047"/>
      <c r="S41" s="1047"/>
      <c r="T41" s="1047"/>
      <c r="U41" s="1047"/>
      <c r="V41" s="1047"/>
      <c r="W41" s="1047"/>
      <c r="X41" s="1048"/>
      <c r="Y41" s="1047"/>
      <c r="Z41" s="1047"/>
    </row>
    <row r="42" spans="1:26" ht="15.75">
      <c r="A42" s="837">
        <v>85</v>
      </c>
      <c r="B42" s="1976" t="s">
        <v>2142</v>
      </c>
      <c r="C42" s="1977" t="s">
        <v>941</v>
      </c>
      <c r="D42" s="1982"/>
      <c r="E42" s="1988">
        <f>+OTCHET!E197+OTCHET!E205</f>
        <v>1193000</v>
      </c>
      <c r="F42" s="1988">
        <f t="shared" si="1"/>
        <v>281928</v>
      </c>
      <c r="G42" s="1985">
        <f>+OTCHET!G197+OTCHET!G205</f>
        <v>0</v>
      </c>
      <c r="H42" s="1978">
        <f>+OTCHET!H197+OTCHET!H205</f>
        <v>0</v>
      </c>
      <c r="I42" s="1978">
        <f>+OTCHET!I197+OTCHET!I205</f>
        <v>0</v>
      </c>
      <c r="J42" s="1979">
        <f>+OTCHET!J197+OTCHET!J205</f>
        <v>281928</v>
      </c>
      <c r="K42" s="436"/>
      <c r="L42" s="436"/>
      <c r="M42" s="436"/>
      <c r="N42" s="935"/>
      <c r="O42" s="1077" t="s">
        <v>941</v>
      </c>
      <c r="P42" s="443"/>
      <c r="Q42" s="941"/>
      <c r="R42" s="1047"/>
      <c r="S42" s="1047"/>
      <c r="T42" s="1047"/>
      <c r="U42" s="1047"/>
      <c r="V42" s="1047"/>
      <c r="W42" s="1047"/>
      <c r="X42" s="1048"/>
      <c r="Y42" s="1047"/>
      <c r="Z42" s="1047"/>
    </row>
    <row r="43" spans="1:26" ht="15.75">
      <c r="A43" s="837">
        <v>90</v>
      </c>
      <c r="B43" s="873" t="s">
        <v>2143</v>
      </c>
      <c r="C43" s="874" t="s">
        <v>1241</v>
      </c>
      <c r="D43" s="873"/>
      <c r="E43" s="875">
        <f>+OTCHET!E206+OTCHET!E224+OTCHET!E273</f>
        <v>2156200</v>
      </c>
      <c r="F43" s="875">
        <f t="shared" si="1"/>
        <v>279364</v>
      </c>
      <c r="G43" s="992">
        <f>+OTCHET!G206+OTCHET!G224+OTCHET!G273</f>
        <v>235944</v>
      </c>
      <c r="H43" s="993">
        <f>+OTCHET!H206+OTCHET!H224+OTCHET!H273</f>
        <v>0</v>
      </c>
      <c r="I43" s="993">
        <f>+OTCHET!I206+OTCHET!I224+OTCHET!I273</f>
        <v>43420</v>
      </c>
      <c r="J43" s="994">
        <f>+OTCHET!J206+OTCHET!J224+OTCHET!J273</f>
        <v>0</v>
      </c>
      <c r="K43" s="436"/>
      <c r="L43" s="436"/>
      <c r="M43" s="436"/>
      <c r="N43" s="935"/>
      <c r="O43" s="1077" t="s">
        <v>1241</v>
      </c>
      <c r="P43" s="443"/>
      <c r="Q43" s="941"/>
      <c r="R43" s="1047"/>
      <c r="S43" s="1047"/>
      <c r="T43" s="1047"/>
      <c r="U43" s="1047"/>
      <c r="V43" s="1047"/>
      <c r="W43" s="1047"/>
      <c r="X43" s="1048"/>
      <c r="Y43" s="1047"/>
      <c r="Z43" s="1047"/>
    </row>
    <row r="44" spans="1:26" ht="15.75">
      <c r="A44" s="837">
        <v>95</v>
      </c>
      <c r="B44" s="869" t="s">
        <v>2144</v>
      </c>
      <c r="C44" s="867" t="s">
        <v>902</v>
      </c>
      <c r="D44" s="869"/>
      <c r="E44" s="861">
        <f>+OTCHET!E228+OTCHET!E234+OTCHET!E237+OTCHET!E238+OTCHET!E239+OTCHET!E240+OTCHET!E241</f>
        <v>0</v>
      </c>
      <c r="F44" s="861">
        <f t="shared" si="1"/>
        <v>0</v>
      </c>
      <c r="G44" s="953">
        <f>+OTCHET!G228+OTCHET!G234+OTCHET!G237+OTCHET!G238+OTCHET!G239+OTCHET!G240+OTCHET!G241</f>
        <v>0</v>
      </c>
      <c r="H44" s="954">
        <f>+OTCHET!H228+OTCHET!H234+OTCHET!H237+OTCHET!H238+OTCHET!H239+OTCHET!H240+OTCHET!H241</f>
        <v>0</v>
      </c>
      <c r="I44" s="954">
        <f>+OTCHET!I228+OTCHET!I234+OTCHET!I237+OTCHET!I238+OTCHET!I239+OTCHET!I240+OTCHET!I241</f>
        <v>0</v>
      </c>
      <c r="J44" s="955">
        <f>+OTCHET!J228+OTCHET!J234+OTCHET!J237+OTCHET!J238+OTCHET!J239+OTCHET!J240+OTCHET!J241</f>
        <v>0</v>
      </c>
      <c r="K44" s="436"/>
      <c r="L44" s="436"/>
      <c r="M44" s="436"/>
      <c r="N44" s="935"/>
      <c r="O44" s="1073" t="s">
        <v>902</v>
      </c>
      <c r="P44" s="443"/>
      <c r="Q44" s="941"/>
      <c r="R44" s="1047"/>
      <c r="S44" s="1047"/>
      <c r="T44" s="1047"/>
      <c r="U44" s="1047"/>
      <c r="V44" s="1047"/>
      <c r="W44" s="1047"/>
      <c r="X44" s="1048"/>
      <c r="Y44" s="1047"/>
      <c r="Z44" s="1047"/>
    </row>
    <row r="45" spans="1:26" ht="15.75">
      <c r="A45" s="837">
        <v>100</v>
      </c>
      <c r="B45" s="876" t="s">
        <v>944</v>
      </c>
      <c r="C45" s="876" t="s">
        <v>1561</v>
      </c>
      <c r="D45" s="876"/>
      <c r="E45" s="877">
        <f>+OTCHET!E237+OTCHET!E238+OTCHET!E239+OTCHET!E240+OTCHET!E244+OTCHET!E245+OTCHET!E249</f>
        <v>0</v>
      </c>
      <c r="F45" s="877">
        <f t="shared" si="1"/>
        <v>0</v>
      </c>
      <c r="G45" s="989">
        <f>+OTCHET!G237+OTCHET!G238+OTCHET!G239+OTCHET!G240+OTCHET!G244+OTCHET!G245+OTCHET!G249</f>
        <v>0</v>
      </c>
      <c r="H45" s="990">
        <f>+OTCHET!H237+OTCHET!H238+OTCHET!H239+OTCHET!H240+OTCHET!H244+OTCHET!H245+OTCHET!H249</f>
        <v>0</v>
      </c>
      <c r="I45" s="576">
        <f>+OTCHET!I237+OTCHET!I238+OTCHET!I239+OTCHET!I240+OTCHET!I244+OTCHET!I245+OTCHET!I249</f>
        <v>0</v>
      </c>
      <c r="J45" s="991">
        <f>+OTCHET!J237+OTCHET!J238+OTCHET!J239+OTCHET!J240+OTCHET!J244+OTCHET!J245+OTCHET!J249</f>
        <v>0</v>
      </c>
      <c r="K45" s="436"/>
      <c r="L45" s="436"/>
      <c r="M45" s="436"/>
      <c r="N45" s="935"/>
      <c r="O45" s="1082" t="s">
        <v>1561</v>
      </c>
      <c r="P45" s="443"/>
      <c r="Q45" s="941"/>
      <c r="R45" s="1047"/>
      <c r="S45" s="1047"/>
      <c r="T45" s="1047"/>
      <c r="U45" s="1047"/>
      <c r="V45" s="1047"/>
      <c r="W45" s="1047"/>
      <c r="X45" s="1048"/>
      <c r="Y45" s="1047"/>
      <c r="Z45" s="1047"/>
    </row>
    <row r="46" spans="1:26" ht="15.75">
      <c r="A46" s="837">
        <v>105</v>
      </c>
      <c r="B46" s="873" t="s">
        <v>2145</v>
      </c>
      <c r="C46" s="874" t="s">
        <v>1242</v>
      </c>
      <c r="D46" s="873"/>
      <c r="E46" s="875">
        <f>+OTCHET!E257+OTCHET!E258+OTCHET!E259+OTCHET!E260</f>
        <v>0</v>
      </c>
      <c r="F46" s="875">
        <f t="shared" si="1"/>
        <v>0</v>
      </c>
      <c r="G46" s="992">
        <f>+OTCHET!G257+OTCHET!G258+OTCHET!G259+OTCHET!G260</f>
        <v>0</v>
      </c>
      <c r="H46" s="993">
        <f>+OTCHET!H257+OTCHET!H258+OTCHET!H259+OTCHET!H260</f>
        <v>0</v>
      </c>
      <c r="I46" s="993">
        <f>+OTCHET!I257+OTCHET!I258+OTCHET!I259+OTCHET!I260</f>
        <v>0</v>
      </c>
      <c r="J46" s="994">
        <f>+OTCHET!J257+OTCHET!J258+OTCHET!J259+OTCHET!J260</f>
        <v>0</v>
      </c>
      <c r="K46" s="436"/>
      <c r="L46" s="436"/>
      <c r="M46" s="436"/>
      <c r="N46" s="935"/>
      <c r="O46" s="1083" t="s">
        <v>1242</v>
      </c>
      <c r="P46" s="443"/>
      <c r="Q46" s="941"/>
      <c r="R46" s="1047"/>
      <c r="S46" s="1047"/>
      <c r="T46" s="1047"/>
      <c r="U46" s="1047"/>
      <c r="V46" s="1047"/>
      <c r="W46" s="1047"/>
      <c r="X46" s="1048"/>
      <c r="Y46" s="1047"/>
      <c r="Z46" s="1047"/>
    </row>
    <row r="47" spans="1:26" ht="15.75">
      <c r="A47" s="837">
        <v>106</v>
      </c>
      <c r="B47" s="876" t="s">
        <v>778</v>
      </c>
      <c r="C47" s="876" t="s">
        <v>779</v>
      </c>
      <c r="D47" s="876"/>
      <c r="E47" s="877">
        <f>+OTCHET!E258</f>
        <v>0</v>
      </c>
      <c r="F47" s="877">
        <f t="shared" si="1"/>
        <v>0</v>
      </c>
      <c r="G47" s="989">
        <f>+OTCHET!G258</f>
        <v>0</v>
      </c>
      <c r="H47" s="990">
        <f>+OTCHET!H258</f>
        <v>0</v>
      </c>
      <c r="I47" s="576">
        <f>+OTCHET!I258</f>
        <v>0</v>
      </c>
      <c r="J47" s="991">
        <f>+OTCHET!J258</f>
        <v>0</v>
      </c>
      <c r="K47" s="436"/>
      <c r="L47" s="436"/>
      <c r="M47" s="436"/>
      <c r="N47" s="935"/>
      <c r="O47" s="1082" t="s">
        <v>779</v>
      </c>
      <c r="P47" s="443"/>
      <c r="Q47" s="941"/>
      <c r="R47" s="1047"/>
      <c r="S47" s="1047"/>
      <c r="T47" s="1047"/>
      <c r="U47" s="1047"/>
      <c r="V47" s="1047"/>
      <c r="W47" s="1047"/>
      <c r="X47" s="1048"/>
      <c r="Y47" s="1047"/>
      <c r="Z47" s="1047"/>
    </row>
    <row r="48" spans="1:26" ht="15.75">
      <c r="A48" s="837">
        <v>107</v>
      </c>
      <c r="B48" s="847" t="s">
        <v>2147</v>
      </c>
      <c r="C48" s="847" t="s">
        <v>1579</v>
      </c>
      <c r="D48" s="866"/>
      <c r="E48" s="859">
        <f>+OTCHET!E267+OTCHET!E271+OTCHET!E272</f>
        <v>0</v>
      </c>
      <c r="F48" s="859">
        <f t="shared" si="1"/>
        <v>0</v>
      </c>
      <c r="G48" s="971">
        <f>+OTCHET!G267+OTCHET!G271+OTCHET!G272</f>
        <v>0</v>
      </c>
      <c r="H48" s="972">
        <f>+OTCHET!H267+OTCHET!H271+OTCHET!H272</f>
        <v>0</v>
      </c>
      <c r="I48" s="972">
        <f>+OTCHET!I267+OTCHET!I271+OTCHET!I272</f>
        <v>0</v>
      </c>
      <c r="J48" s="973">
        <f>+OTCHET!J267+OTCHET!J271+OTCHET!J272</f>
        <v>0</v>
      </c>
      <c r="K48" s="436"/>
      <c r="L48" s="436"/>
      <c r="M48" s="436"/>
      <c r="N48" s="935"/>
      <c r="O48" s="1077" t="s">
        <v>2153</v>
      </c>
      <c r="P48" s="443"/>
      <c r="Q48" s="941"/>
      <c r="R48" s="1047"/>
      <c r="S48" s="1047"/>
      <c r="T48" s="1047"/>
      <c r="U48" s="1047"/>
      <c r="V48" s="1047"/>
      <c r="W48" s="1047"/>
      <c r="X48" s="1048"/>
      <c r="Y48" s="1047"/>
      <c r="Z48" s="1047"/>
    </row>
    <row r="49" spans="1:26" ht="15.75">
      <c r="A49" s="837">
        <v>108</v>
      </c>
      <c r="B49" s="847" t="s">
        <v>2148</v>
      </c>
      <c r="C49" s="847" t="s">
        <v>1580</v>
      </c>
      <c r="D49" s="866"/>
      <c r="E49" s="859">
        <f>OTCHET!E277+OTCHET!E278+OTCHET!E286+OTCHET!E289</f>
        <v>1483000</v>
      </c>
      <c r="F49" s="859">
        <f t="shared" si="1"/>
        <v>-16244</v>
      </c>
      <c r="G49" s="974">
        <f>OTCHET!G277+OTCHET!G278+OTCHET!G286+OTCHET!G289</f>
        <v>-16244</v>
      </c>
      <c r="H49" s="975">
        <f>OTCHET!H277+OTCHET!H278+OTCHET!H286+OTCHET!H289</f>
        <v>0</v>
      </c>
      <c r="I49" s="975">
        <f>OTCHET!I277+OTCHET!I278+OTCHET!I286+OTCHET!I289</f>
        <v>0</v>
      </c>
      <c r="J49" s="976">
        <f>OTCHET!J277+OTCHET!J278+OTCHET!J286+OTCHET!J289</f>
        <v>0</v>
      </c>
      <c r="K49" s="436"/>
      <c r="L49" s="436"/>
      <c r="M49" s="436"/>
      <c r="N49" s="935"/>
      <c r="O49" s="1077" t="s">
        <v>1580</v>
      </c>
      <c r="P49" s="443"/>
      <c r="Q49" s="941"/>
      <c r="R49" s="1047"/>
      <c r="S49" s="1047"/>
      <c r="T49" s="1047"/>
      <c r="U49" s="1047"/>
      <c r="V49" s="1047"/>
      <c r="W49" s="1047"/>
      <c r="X49" s="1048"/>
      <c r="Y49" s="1047"/>
      <c r="Z49" s="1047"/>
    </row>
    <row r="50" spans="1:26" ht="15.75">
      <c r="A50" s="837">
        <v>110</v>
      </c>
      <c r="B50" s="847" t="s">
        <v>2149</v>
      </c>
      <c r="C50" s="847" t="s">
        <v>1581</v>
      </c>
      <c r="D50" s="847"/>
      <c r="E50" s="859">
        <f>+OTCHET!E290</f>
        <v>0</v>
      </c>
      <c r="F50" s="859">
        <f t="shared" si="1"/>
        <v>0</v>
      </c>
      <c r="G50" s="974">
        <f>+OTCHET!G290</f>
        <v>0</v>
      </c>
      <c r="H50" s="975">
        <f>+OTCHET!H290</f>
        <v>0</v>
      </c>
      <c r="I50" s="975">
        <f>+OTCHET!I290</f>
        <v>0</v>
      </c>
      <c r="J50" s="976">
        <f>+OTCHET!J290</f>
        <v>0</v>
      </c>
      <c r="K50" s="436"/>
      <c r="L50" s="436"/>
      <c r="M50" s="436"/>
      <c r="N50" s="935"/>
      <c r="O50" s="1077" t="s">
        <v>1581</v>
      </c>
      <c r="P50" s="443"/>
      <c r="Q50" s="941"/>
      <c r="R50" s="1047"/>
      <c r="S50" s="1047"/>
      <c r="T50" s="1047"/>
      <c r="U50" s="1047"/>
      <c r="V50" s="1047"/>
      <c r="W50" s="1047"/>
      <c r="X50" s="1048"/>
      <c r="Y50" s="1047"/>
      <c r="Z50" s="1047"/>
    </row>
    <row r="51" spans="1:26" ht="15.75">
      <c r="A51" s="837">
        <v>115</v>
      </c>
      <c r="B51" s="869" t="s">
        <v>2151</v>
      </c>
      <c r="C51" s="870" t="s">
        <v>976</v>
      </c>
      <c r="D51" s="867"/>
      <c r="E51" s="861">
        <f>+OTCHET!E274</f>
        <v>0</v>
      </c>
      <c r="F51" s="861">
        <f>+G51+H51+I51+J51</f>
        <v>0</v>
      </c>
      <c r="G51" s="953">
        <f>+OTCHET!G274</f>
        <v>0</v>
      </c>
      <c r="H51" s="954">
        <f>+OTCHET!H274</f>
        <v>0</v>
      </c>
      <c r="I51" s="954">
        <f>+OTCHET!I274</f>
        <v>0</v>
      </c>
      <c r="J51" s="955">
        <f>+OTCHET!J274</f>
        <v>0</v>
      </c>
      <c r="K51" s="436"/>
      <c r="L51" s="436"/>
      <c r="M51" s="436"/>
      <c r="N51" s="935"/>
      <c r="O51" s="1077" t="s">
        <v>2152</v>
      </c>
      <c r="P51" s="443"/>
      <c r="Q51" s="941"/>
      <c r="R51" s="1047"/>
      <c r="S51" s="1047"/>
      <c r="T51" s="1047"/>
      <c r="U51" s="1047"/>
      <c r="V51" s="1047"/>
      <c r="W51" s="1047"/>
      <c r="X51" s="1048"/>
      <c r="Y51" s="1047"/>
      <c r="Z51" s="1047"/>
    </row>
    <row r="52" spans="1:26" ht="15.75">
      <c r="A52" s="837">
        <v>115</v>
      </c>
      <c r="B52" s="869" t="s">
        <v>2150</v>
      </c>
      <c r="C52" s="870" t="s">
        <v>976</v>
      </c>
      <c r="D52" s="867"/>
      <c r="E52" s="861">
        <f>+OTCHET!E295</f>
        <v>0</v>
      </c>
      <c r="F52" s="861">
        <f t="shared" si="1"/>
        <v>0</v>
      </c>
      <c r="G52" s="953">
        <f>+OTCHET!G295</f>
        <v>0</v>
      </c>
      <c r="H52" s="954">
        <f>+OTCHET!H295</f>
        <v>0</v>
      </c>
      <c r="I52" s="954">
        <f>+OTCHET!I295</f>
        <v>0</v>
      </c>
      <c r="J52" s="955">
        <f>+OTCHET!J295</f>
        <v>0</v>
      </c>
      <c r="K52" s="436"/>
      <c r="L52" s="436"/>
      <c r="M52" s="436"/>
      <c r="N52" s="935"/>
      <c r="O52" s="1073" t="s">
        <v>976</v>
      </c>
      <c r="P52" s="443"/>
      <c r="Q52" s="941"/>
      <c r="R52" s="1047"/>
      <c r="S52" s="1047"/>
      <c r="T52" s="1047"/>
      <c r="U52" s="1047"/>
      <c r="V52" s="1047"/>
      <c r="W52" s="1047"/>
      <c r="X52" s="1048"/>
      <c r="Y52" s="1047"/>
      <c r="Z52" s="1047"/>
    </row>
    <row r="53" spans="1:26" ht="16.5" thickBot="1">
      <c r="A53" s="837">
        <v>120</v>
      </c>
      <c r="B53" s="852" t="s">
        <v>943</v>
      </c>
      <c r="C53" s="852" t="s">
        <v>1562</v>
      </c>
      <c r="D53" s="878"/>
      <c r="E53" s="879">
        <f>OTCHET!E296</f>
        <v>0</v>
      </c>
      <c r="F53" s="879">
        <f t="shared" si="1"/>
        <v>0</v>
      </c>
      <c r="G53" s="995">
        <f>OTCHET!G296</f>
        <v>0</v>
      </c>
      <c r="H53" s="996">
        <f>OTCHET!H296</f>
        <v>0</v>
      </c>
      <c r="I53" s="996">
        <f>OTCHET!I296</f>
        <v>0</v>
      </c>
      <c r="J53" s="997">
        <f>OTCHET!J296</f>
        <v>0</v>
      </c>
      <c r="K53" s="438"/>
      <c r="L53" s="438"/>
      <c r="M53" s="438"/>
      <c r="N53" s="935"/>
      <c r="O53" s="1041" t="s">
        <v>1562</v>
      </c>
      <c r="P53" s="443"/>
      <c r="Q53" s="941"/>
      <c r="R53" s="1047"/>
      <c r="S53" s="1047"/>
      <c r="T53" s="1047"/>
      <c r="U53" s="1047"/>
      <c r="V53" s="1047"/>
      <c r="W53" s="1047"/>
      <c r="X53" s="1048"/>
      <c r="Y53" s="1047"/>
      <c r="Z53" s="1047"/>
    </row>
    <row r="54" spans="1:26" ht="16.5" thickBot="1">
      <c r="A54" s="837">
        <v>125</v>
      </c>
      <c r="B54" s="880" t="s">
        <v>1588</v>
      </c>
      <c r="C54" s="881" t="s">
        <v>1589</v>
      </c>
      <c r="D54" s="882"/>
      <c r="E54" s="883">
        <f>OTCHET!E298</f>
        <v>0</v>
      </c>
      <c r="F54" s="883">
        <f t="shared" si="1"/>
        <v>0</v>
      </c>
      <c r="G54" s="998">
        <f>OTCHET!G298</f>
        <v>0</v>
      </c>
      <c r="H54" s="999">
        <f>OTCHET!H298</f>
        <v>0</v>
      </c>
      <c r="I54" s="999">
        <f>OTCHET!I298</f>
        <v>0</v>
      </c>
      <c r="J54" s="1000">
        <f>OTCHET!J298</f>
        <v>0</v>
      </c>
      <c r="K54" s="444"/>
      <c r="L54" s="444"/>
      <c r="M54" s="445"/>
      <c r="N54" s="935"/>
      <c r="O54" s="1043" t="s">
        <v>1589</v>
      </c>
      <c r="P54" s="443"/>
      <c r="Q54" s="941"/>
      <c r="R54" s="1047"/>
      <c r="S54" s="1047"/>
      <c r="T54" s="1047"/>
      <c r="U54" s="1047"/>
      <c r="V54" s="1047"/>
      <c r="W54" s="1047"/>
      <c r="X54" s="1048"/>
      <c r="Y54" s="1047"/>
      <c r="Z54" s="1047"/>
    </row>
    <row r="55" spans="1:26" ht="15.75">
      <c r="A55" s="1053">
        <v>127</v>
      </c>
      <c r="B55" s="806" t="s">
        <v>2154</v>
      </c>
      <c r="C55" s="806" t="s">
        <v>942</v>
      </c>
      <c r="D55" s="821"/>
      <c r="E55" s="822">
        <f>+OTCHET!E299</f>
        <v>0</v>
      </c>
      <c r="F55" s="822">
        <f t="shared" si="1"/>
        <v>0</v>
      </c>
      <c r="G55" s="1001">
        <f>+OTCHET!G299</f>
        <v>0</v>
      </c>
      <c r="H55" s="1002">
        <f>+OTCHET!H299</f>
        <v>0</v>
      </c>
      <c r="I55" s="1002">
        <f>+OTCHET!I299</f>
        <v>0</v>
      </c>
      <c r="J55" s="1003">
        <f>+OTCHET!J299</f>
        <v>0</v>
      </c>
      <c r="K55" s="446"/>
      <c r="L55" s="446"/>
      <c r="M55" s="447"/>
      <c r="N55" s="934"/>
      <c r="O55" s="1084" t="s">
        <v>942</v>
      </c>
      <c r="P55" s="443"/>
      <c r="Q55" s="941"/>
      <c r="R55" s="1047"/>
      <c r="S55" s="1047"/>
      <c r="T55" s="1047"/>
      <c r="U55" s="1047"/>
      <c r="V55" s="1047"/>
      <c r="W55" s="1047"/>
      <c r="X55" s="1048"/>
      <c r="Y55" s="1047"/>
      <c r="Z55" s="1047"/>
    </row>
    <row r="56" spans="1:26" ht="19.5" thickBot="1">
      <c r="A56" s="837">
        <v>130</v>
      </c>
      <c r="B56" s="891" t="s">
        <v>608</v>
      </c>
      <c r="C56" s="892" t="s">
        <v>1699</v>
      </c>
      <c r="D56" s="892"/>
      <c r="E56" s="893">
        <f aca="true" t="shared" si="5" ref="E56:J56">+E57+E58+E62</f>
        <v>-16100000</v>
      </c>
      <c r="F56" s="893">
        <f t="shared" si="5"/>
        <v>-42350977</v>
      </c>
      <c r="G56" s="1004">
        <f t="shared" si="5"/>
        <v>-42712144</v>
      </c>
      <c r="H56" s="1005">
        <f t="shared" si="5"/>
        <v>0</v>
      </c>
      <c r="I56" s="894">
        <f t="shared" si="5"/>
        <v>0</v>
      </c>
      <c r="J56" s="1006">
        <f t="shared" si="5"/>
        <v>361167</v>
      </c>
      <c r="K56" s="431">
        <f>+K57+K58+K61</f>
        <v>0</v>
      </c>
      <c r="L56" s="431">
        <f>+L57+L58+L61</f>
        <v>0</v>
      </c>
      <c r="M56" s="431">
        <f>+M57+M58+M61</f>
        <v>0</v>
      </c>
      <c r="N56" s="933"/>
      <c r="O56" s="1085" t="s">
        <v>1699</v>
      </c>
      <c r="P56" s="443"/>
      <c r="Q56" s="941"/>
      <c r="R56" s="1047"/>
      <c r="S56" s="1047"/>
      <c r="T56" s="1047"/>
      <c r="U56" s="1047"/>
      <c r="V56" s="1047"/>
      <c r="W56" s="1047"/>
      <c r="X56" s="1048"/>
      <c r="Y56" s="1047"/>
      <c r="Z56" s="1047"/>
    </row>
    <row r="57" spans="1:26" ht="16.5" thickTop="1">
      <c r="A57" s="837">
        <v>135</v>
      </c>
      <c r="B57" s="873" t="s">
        <v>609</v>
      </c>
      <c r="C57" s="874" t="s">
        <v>979</v>
      </c>
      <c r="D57" s="873"/>
      <c r="E57" s="888">
        <f>+OTCHET!E363+OTCHET!E377+OTCHET!E390</f>
        <v>-7000000</v>
      </c>
      <c r="F57" s="888">
        <f t="shared" si="1"/>
        <v>-42344564</v>
      </c>
      <c r="G57" s="1007">
        <f>+OTCHET!G363+OTCHET!G377+OTCHET!G390</f>
        <v>-42344564</v>
      </c>
      <c r="H57" s="1008">
        <f>+OTCHET!H363+OTCHET!H377+OTCHET!H390</f>
        <v>0</v>
      </c>
      <c r="I57" s="1008">
        <f>+OTCHET!I363+OTCHET!I377+OTCHET!I390</f>
        <v>0</v>
      </c>
      <c r="J57" s="1009">
        <f>+OTCHET!J363+OTCHET!J377+OTCHET!J390</f>
        <v>0</v>
      </c>
      <c r="K57" s="447"/>
      <c r="L57" s="447"/>
      <c r="M57" s="447"/>
      <c r="N57" s="934"/>
      <c r="O57" s="1086" t="s">
        <v>979</v>
      </c>
      <c r="P57" s="443"/>
      <c r="Q57" s="941"/>
      <c r="R57" s="1047"/>
      <c r="S57" s="1047"/>
      <c r="T57" s="1047"/>
      <c r="U57" s="1047"/>
      <c r="V57" s="1047"/>
      <c r="W57" s="1047"/>
      <c r="X57" s="1048"/>
      <c r="Y57" s="1047"/>
      <c r="Z57" s="1047"/>
    </row>
    <row r="58" spans="1:26" ht="15.75">
      <c r="A58" s="837">
        <v>140</v>
      </c>
      <c r="B58" s="866" t="s">
        <v>925</v>
      </c>
      <c r="C58" s="847" t="s">
        <v>1700</v>
      </c>
      <c r="D58" s="866"/>
      <c r="E58" s="884">
        <f>+OTCHET!E385+OTCHET!E393+OTCHET!E398+OTCHET!E401+OTCHET!E404+OTCHET!E407+OTCHET!E408+OTCHET!E411+OTCHET!E424+OTCHET!E425+OTCHET!E426+OTCHET!E427+OTCHET!E428</f>
        <v>-9100000</v>
      </c>
      <c r="F58" s="884">
        <f t="shared" si="1"/>
        <v>-405508</v>
      </c>
      <c r="G58" s="1010">
        <f>+OTCHET!G385+OTCHET!G393+OTCHET!G398+OTCHET!G401+OTCHET!G404+OTCHET!G407+OTCHET!G408+OTCHET!G411+OTCHET!G424+OTCHET!G425+OTCHET!G426+OTCHET!G427+OTCHET!G428</f>
        <v>-367580</v>
      </c>
      <c r="H58" s="1011">
        <f>+OTCHET!H385+OTCHET!H393+OTCHET!H398+OTCHET!H401+OTCHET!H404+OTCHET!H407+OTCHET!H408+OTCHET!H411+OTCHET!H424+OTCHET!H425+OTCHET!H426+OTCHET!H427+OTCHET!H428</f>
        <v>0</v>
      </c>
      <c r="I58" s="1011">
        <f>+OTCHET!I385+OTCHET!I393+OTCHET!I398+OTCHET!I401+OTCHET!I404+OTCHET!I407+OTCHET!I408+OTCHET!I411+OTCHET!I424+OTCHET!I425+OTCHET!I426+OTCHET!I427+OTCHET!I428</f>
        <v>0</v>
      </c>
      <c r="J58" s="1012">
        <f>+OTCHET!J385+OTCHET!J393+OTCHET!J398+OTCHET!J401+OTCHET!J404+OTCHET!J407+OTCHET!J408+OTCHET!J411+OTCHET!J424+OTCHET!J425+OTCHET!J426+OTCHET!J427+OTCHET!J428</f>
        <v>-37928</v>
      </c>
      <c r="K58" s="447"/>
      <c r="L58" s="447"/>
      <c r="M58" s="447"/>
      <c r="N58" s="934"/>
      <c r="O58" s="1087" t="s">
        <v>1700</v>
      </c>
      <c r="P58" s="443"/>
      <c r="Q58" s="941"/>
      <c r="R58" s="1047"/>
      <c r="S58" s="1047"/>
      <c r="T58" s="1047"/>
      <c r="U58" s="1047"/>
      <c r="V58" s="1047"/>
      <c r="W58" s="1047"/>
      <c r="X58" s="1048"/>
      <c r="Y58" s="1047"/>
      <c r="Z58" s="1047"/>
    </row>
    <row r="59" spans="1:26" ht="15.75">
      <c r="A59" s="837">
        <v>145</v>
      </c>
      <c r="B59" s="867" t="s">
        <v>1555</v>
      </c>
      <c r="C59" s="867" t="s">
        <v>1563</v>
      </c>
      <c r="D59" s="869"/>
      <c r="E59" s="885">
        <f>+OTCHET!E424+OTCHET!E425+OTCHET!E426+OTCHET!E427+OTCHET!E428</f>
        <v>0</v>
      </c>
      <c r="F59" s="885">
        <f t="shared" si="1"/>
        <v>0</v>
      </c>
      <c r="G59" s="1013">
        <f>+OTCHET!G424+OTCHET!G425+OTCHET!G426+OTCHET!G427+OTCHET!G428</f>
        <v>0</v>
      </c>
      <c r="H59" s="1014">
        <f>+OTCHET!H424+OTCHET!H425+OTCHET!H426+OTCHET!H427+OTCHET!H428</f>
        <v>0</v>
      </c>
      <c r="I59" s="1014">
        <f>+OTCHET!I424+OTCHET!I425+OTCHET!I426+OTCHET!I427+OTCHET!I428</f>
        <v>0</v>
      </c>
      <c r="J59" s="1015">
        <f>+OTCHET!J424+OTCHET!J425+OTCHET!J426+OTCHET!J427+OTCHET!J428</f>
        <v>0</v>
      </c>
      <c r="K59" s="447"/>
      <c r="L59" s="447"/>
      <c r="M59" s="447"/>
      <c r="N59" s="934"/>
      <c r="O59" s="1088" t="s">
        <v>1563</v>
      </c>
      <c r="P59" s="443"/>
      <c r="Q59" s="941"/>
      <c r="R59" s="1047"/>
      <c r="S59" s="1047"/>
      <c r="T59" s="1047"/>
      <c r="U59" s="1047"/>
      <c r="V59" s="1047"/>
      <c r="W59" s="1047"/>
      <c r="X59" s="1048"/>
      <c r="Y59" s="1047"/>
      <c r="Z59" s="1047"/>
    </row>
    <row r="60" spans="1:26" ht="15.75">
      <c r="A60" s="837">
        <v>150</v>
      </c>
      <c r="B60" s="807" t="s">
        <v>981</v>
      </c>
      <c r="C60" s="807" t="s">
        <v>1553</v>
      </c>
      <c r="D60" s="889"/>
      <c r="E60" s="890">
        <f>OTCHET!E407</f>
        <v>0</v>
      </c>
      <c r="F60" s="890">
        <f t="shared" si="1"/>
        <v>0</v>
      </c>
      <c r="G60" s="1016">
        <f>OTCHET!G407</f>
        <v>0</v>
      </c>
      <c r="H60" s="1017">
        <f>OTCHET!H407</f>
        <v>0</v>
      </c>
      <c r="I60" s="1017">
        <f>OTCHET!I407</f>
        <v>0</v>
      </c>
      <c r="J60" s="1018">
        <f>OTCHET!J407</f>
        <v>0</v>
      </c>
      <c r="K60" s="447"/>
      <c r="L60" s="447"/>
      <c r="M60" s="447"/>
      <c r="N60" s="934"/>
      <c r="O60" s="1089" t="s">
        <v>1553</v>
      </c>
      <c r="P60" s="443"/>
      <c r="Q60" s="941"/>
      <c r="R60" s="1047"/>
      <c r="S60" s="1047"/>
      <c r="T60" s="1047"/>
      <c r="U60" s="1047"/>
      <c r="V60" s="1047"/>
      <c r="W60" s="1047"/>
      <c r="X60" s="1048"/>
      <c r="Y60" s="1047"/>
      <c r="Z60" s="1047"/>
    </row>
    <row r="61" spans="1:26" ht="15.75" customHeight="1" hidden="1">
      <c r="A61" s="837">
        <v>160</v>
      </c>
      <c r="B61" s="886"/>
      <c r="C61" s="887"/>
      <c r="D61" s="873"/>
      <c r="E61" s="888"/>
      <c r="F61" s="888">
        <f t="shared" si="1"/>
        <v>0</v>
      </c>
      <c r="G61" s="1007"/>
      <c r="H61" s="1008"/>
      <c r="I61" s="1008"/>
      <c r="J61" s="1009"/>
      <c r="K61" s="447"/>
      <c r="L61" s="447"/>
      <c r="M61" s="447"/>
      <c r="N61" s="934"/>
      <c r="O61" s="1086"/>
      <c r="P61" s="443"/>
      <c r="Q61" s="941"/>
      <c r="R61" s="1047"/>
      <c r="S61" s="1047"/>
      <c r="T61" s="1047"/>
      <c r="U61" s="1047"/>
      <c r="V61" s="1047"/>
      <c r="W61" s="1047"/>
      <c r="X61" s="1048"/>
      <c r="Y61" s="1047"/>
      <c r="Z61" s="1047"/>
    </row>
    <row r="62" spans="1:26" ht="15.75">
      <c r="A62" s="1053">
        <v>162</v>
      </c>
      <c r="B62" s="868" t="s">
        <v>1404</v>
      </c>
      <c r="C62" s="840" t="s">
        <v>904</v>
      </c>
      <c r="D62" s="868"/>
      <c r="E62" s="841">
        <f>OTCHET!E414</f>
        <v>0</v>
      </c>
      <c r="F62" s="841">
        <f t="shared" si="1"/>
        <v>399095</v>
      </c>
      <c r="G62" s="986">
        <f>OTCHET!G414</f>
        <v>0</v>
      </c>
      <c r="H62" s="987">
        <f>OTCHET!H414</f>
        <v>0</v>
      </c>
      <c r="I62" s="987">
        <f>OTCHET!I414</f>
        <v>0</v>
      </c>
      <c r="J62" s="988">
        <f>OTCHET!J414</f>
        <v>399095</v>
      </c>
      <c r="K62" s="448"/>
      <c r="L62" s="448"/>
      <c r="M62" s="448"/>
      <c r="N62" s="934"/>
      <c r="O62" s="1081" t="s">
        <v>904</v>
      </c>
      <c r="P62" s="443"/>
      <c r="Q62" s="941"/>
      <c r="R62" s="1047"/>
      <c r="S62" s="1047"/>
      <c r="T62" s="1047"/>
      <c r="U62" s="1047"/>
      <c r="V62" s="1047"/>
      <c r="W62" s="1047"/>
      <c r="X62" s="1048"/>
      <c r="Y62" s="1047"/>
      <c r="Z62" s="1047"/>
    </row>
    <row r="63" spans="1:26" ht="19.5" thickBot="1">
      <c r="A63" s="837">
        <v>165</v>
      </c>
      <c r="B63" s="802" t="s">
        <v>1698</v>
      </c>
      <c r="C63" s="803" t="s">
        <v>1586</v>
      </c>
      <c r="D63" s="804"/>
      <c r="E63" s="805">
        <f>+OTCHET!E250</f>
        <v>0</v>
      </c>
      <c r="F63" s="805">
        <f t="shared" si="1"/>
        <v>0</v>
      </c>
      <c r="G63" s="1019">
        <f>+OTCHET!G250</f>
        <v>0</v>
      </c>
      <c r="H63" s="1020">
        <f>+OTCHET!H250</f>
        <v>0</v>
      </c>
      <c r="I63" s="1020">
        <f>+OTCHET!I250</f>
        <v>0</v>
      </c>
      <c r="J63" s="1021">
        <f>+OTCHET!J250</f>
        <v>0</v>
      </c>
      <c r="K63" s="449"/>
      <c r="L63" s="449"/>
      <c r="M63" s="449"/>
      <c r="N63" s="934"/>
      <c r="O63" s="1090" t="s">
        <v>1586</v>
      </c>
      <c r="P63" s="443"/>
      <c r="Q63" s="941"/>
      <c r="R63" s="1047"/>
      <c r="S63" s="1047"/>
      <c r="T63" s="1047"/>
      <c r="U63" s="1047"/>
      <c r="V63" s="1047"/>
      <c r="W63" s="1047"/>
      <c r="X63" s="1048"/>
      <c r="Y63" s="1047"/>
      <c r="Z63" s="1047"/>
    </row>
    <row r="64" spans="1:26" ht="20.25" thickBot="1" thickTop="1">
      <c r="A64" s="837">
        <v>175</v>
      </c>
      <c r="B64" s="914" t="s">
        <v>1672</v>
      </c>
      <c r="C64" s="915"/>
      <c r="D64" s="915"/>
      <c r="E64" s="942">
        <f aca="true" t="shared" si="6" ref="E64:J64">+E22-E38+E56-E63</f>
        <v>37430800</v>
      </c>
      <c r="F64" s="942">
        <f t="shared" si="6"/>
        <v>17495</v>
      </c>
      <c r="G64" s="1022">
        <f t="shared" si="6"/>
        <v>56109</v>
      </c>
      <c r="H64" s="1023">
        <f t="shared" si="6"/>
        <v>0</v>
      </c>
      <c r="I64" s="1023">
        <f t="shared" si="6"/>
        <v>-38614</v>
      </c>
      <c r="J64" s="1024">
        <f t="shared" si="6"/>
        <v>0</v>
      </c>
      <c r="K64" s="431">
        <f>+K22-K38+K56</f>
        <v>0</v>
      </c>
      <c r="L64" s="431">
        <f>+L22-L38+L56</f>
        <v>0</v>
      </c>
      <c r="M64" s="431">
        <f>+M22-M38+M56</f>
        <v>0</v>
      </c>
      <c r="N64" s="934"/>
      <c r="O64" s="1091"/>
      <c r="P64" s="443"/>
      <c r="Q64" s="941"/>
      <c r="R64" s="1047"/>
      <c r="S64" s="1047"/>
      <c r="T64" s="1047"/>
      <c r="U64" s="1047"/>
      <c r="V64" s="1047"/>
      <c r="W64" s="1047"/>
      <c r="X64" s="1048"/>
      <c r="Y64" s="1047"/>
      <c r="Z64" s="1047"/>
    </row>
    <row r="65" spans="1:26" ht="12" customHeight="1" hidden="1">
      <c r="A65" s="837">
        <v>180</v>
      </c>
      <c r="B65" s="1100">
        <f>+IF(+SUM(E$65:J$65)=0,0,"Контрола: дефицит/излишък = финансиране с обратен знак (V. + VІ. = 0)")</f>
        <v>0</v>
      </c>
      <c r="C65" s="1101"/>
      <c r="D65" s="1101"/>
      <c r="E65" s="1102">
        <f aca="true" t="shared" si="7" ref="E65:J65">+E$64+E$66</f>
        <v>0</v>
      </c>
      <c r="F65" s="1102">
        <f t="shared" si="7"/>
        <v>0</v>
      </c>
      <c r="G65" s="1103">
        <f t="shared" si="7"/>
        <v>0</v>
      </c>
      <c r="H65" s="1103">
        <f t="shared" si="7"/>
        <v>0</v>
      </c>
      <c r="I65" s="1103">
        <f t="shared" si="7"/>
        <v>0</v>
      </c>
      <c r="J65" s="1104">
        <f t="shared" si="7"/>
        <v>0</v>
      </c>
      <c r="K65" s="447" t="e">
        <f>+K64+K66</f>
        <v>#REF!</v>
      </c>
      <c r="L65" s="447" t="e">
        <f>+L64+L66</f>
        <v>#REF!</v>
      </c>
      <c r="M65" s="447" t="e">
        <f>+M64+M66</f>
        <v>#REF!</v>
      </c>
      <c r="N65" s="934"/>
      <c r="O65" s="1092"/>
      <c r="P65" s="443"/>
      <c r="Q65" s="941"/>
      <c r="R65" s="1047"/>
      <c r="S65" s="1047"/>
      <c r="T65" s="1047"/>
      <c r="U65" s="1047"/>
      <c r="V65" s="1047"/>
      <c r="W65" s="1047"/>
      <c r="X65" s="1048"/>
      <c r="Y65" s="1047"/>
      <c r="Z65" s="1047"/>
    </row>
    <row r="66" spans="1:26" ht="19.5" thickBot="1">
      <c r="A66" s="837">
        <v>185</v>
      </c>
      <c r="B66" s="848" t="s">
        <v>1587</v>
      </c>
      <c r="C66" s="872" t="s">
        <v>926</v>
      </c>
      <c r="D66" s="872"/>
      <c r="E66" s="943">
        <f>SUM(+E68+E76+E77+E84+E85+E86+E89+E90+E91+E92+E93+E94+E95)</f>
        <v>-37430800</v>
      </c>
      <c r="F66" s="943">
        <f>SUM(+F68+F76+F77+F84+F85+F86+F89+F90+F91+F92+F93+F94+F95)</f>
        <v>-17495</v>
      </c>
      <c r="G66" s="1025">
        <f aca="true" t="shared" si="8" ref="G66:L66">SUM(+G68+G76+G77+G84+G85+G86+G89+G90+G91+G92+G93+G94+G95)</f>
        <v>-56109</v>
      </c>
      <c r="H66" s="1026">
        <f>SUM(+H68+H76+H77+H84+H85+H86+H89+H90+H91+H92+H93+H94+H95)</f>
        <v>0</v>
      </c>
      <c r="I66" s="1026">
        <f>SUM(+I68+I76+I77+I84+I85+I86+I89+I90+I91+I92+I93+I94+I95)</f>
        <v>38614</v>
      </c>
      <c r="J66" s="1027">
        <f>SUM(+J68+J76+J77+J84+J85+J86+J89+J90+J91+J92+J93+J94+J95)</f>
        <v>0</v>
      </c>
      <c r="K66" s="450" t="e">
        <f t="shared" si="8"/>
        <v>#REF!</v>
      </c>
      <c r="L66" s="450" t="e">
        <f t="shared" si="8"/>
        <v>#REF!</v>
      </c>
      <c r="M66" s="450" t="e">
        <f>SUM(+M68+M76+M77+M84+M85+M86+M89+M90+M91+M92+M93+M95+M96)</f>
        <v>#REF!</v>
      </c>
      <c r="N66" s="934"/>
      <c r="O66" s="1093" t="s">
        <v>926</v>
      </c>
      <c r="P66" s="443"/>
      <c r="Q66" s="941"/>
      <c r="R66" s="1047"/>
      <c r="S66" s="1047"/>
      <c r="T66" s="1047"/>
      <c r="U66" s="1047"/>
      <c r="V66" s="1047"/>
      <c r="W66" s="1047"/>
      <c r="X66" s="1048"/>
      <c r="Y66" s="1047"/>
      <c r="Z66" s="1047"/>
    </row>
    <row r="67" spans="1:26" ht="16.5" hidden="1" thickTop="1">
      <c r="A67" s="837">
        <v>190</v>
      </c>
      <c r="B67" s="823"/>
      <c r="C67" s="823"/>
      <c r="D67" s="823"/>
      <c r="E67" s="824"/>
      <c r="F67" s="910">
        <f t="shared" si="1"/>
        <v>0</v>
      </c>
      <c r="G67" s="1028"/>
      <c r="H67" s="1029"/>
      <c r="I67" s="1029"/>
      <c r="J67" s="1030"/>
      <c r="K67" s="451"/>
      <c r="L67" s="451"/>
      <c r="M67" s="451"/>
      <c r="N67" s="934"/>
      <c r="O67" s="1094"/>
      <c r="P67" s="443"/>
      <c r="Q67" s="941"/>
      <c r="R67" s="1047"/>
      <c r="S67" s="1047"/>
      <c r="T67" s="1047"/>
      <c r="U67" s="1047"/>
      <c r="V67" s="1047"/>
      <c r="W67" s="1047"/>
      <c r="X67" s="1048"/>
      <c r="Y67" s="1047"/>
      <c r="Z67" s="1047"/>
    </row>
    <row r="68" spans="1:26" ht="16.5" thickTop="1">
      <c r="A68" s="1054">
        <v>195</v>
      </c>
      <c r="B68" s="869" t="s">
        <v>927</v>
      </c>
      <c r="C68" s="867" t="s">
        <v>945</v>
      </c>
      <c r="D68" s="869"/>
      <c r="E68" s="885">
        <f>SUM(E69:E75)</f>
        <v>0</v>
      </c>
      <c r="F68" s="885">
        <f>SUM(F69:F75)</f>
        <v>0</v>
      </c>
      <c r="G68" s="1013">
        <f aca="true" t="shared" si="9" ref="G68:M68">SUM(G69:G75)</f>
        <v>0</v>
      </c>
      <c r="H68" s="1014">
        <f>SUM(H69:H75)</f>
        <v>0</v>
      </c>
      <c r="I68" s="1014">
        <f>SUM(I69:I75)</f>
        <v>0</v>
      </c>
      <c r="J68" s="1015">
        <f>SUM(J69:J75)</f>
        <v>0</v>
      </c>
      <c r="K68" s="895" t="e">
        <f t="shared" si="9"/>
        <v>#REF!</v>
      </c>
      <c r="L68" s="895" t="e">
        <f t="shared" si="9"/>
        <v>#REF!</v>
      </c>
      <c r="M68" s="895" t="e">
        <f t="shared" si="9"/>
        <v>#REF!</v>
      </c>
      <c r="N68" s="934"/>
      <c r="O68" s="1088" t="s">
        <v>945</v>
      </c>
      <c r="P68" s="896"/>
      <c r="Q68" s="941"/>
      <c r="R68" s="1047"/>
      <c r="S68" s="1047"/>
      <c r="T68" s="1047"/>
      <c r="U68" s="1047"/>
      <c r="V68" s="1047"/>
      <c r="W68" s="1047"/>
      <c r="X68" s="1048"/>
      <c r="Y68" s="1047"/>
      <c r="Z68" s="1047"/>
    </row>
    <row r="69" spans="1:26" ht="15.75">
      <c r="A69" s="1055">
        <v>200</v>
      </c>
      <c r="B69" s="838" t="s">
        <v>928</v>
      </c>
      <c r="C69" s="838" t="s">
        <v>1564</v>
      </c>
      <c r="D69" s="838"/>
      <c r="E69" s="839">
        <f>+OTCHET!E484+OTCHET!E485+OTCHET!E488+OTCHET!E489+OTCHET!E492+OTCHET!E493+OTCHET!E497</f>
        <v>0</v>
      </c>
      <c r="F69" s="839">
        <f t="shared" si="1"/>
        <v>0</v>
      </c>
      <c r="G69" s="983">
        <f>+OTCHET!G484+OTCHET!G485+OTCHET!G488+OTCHET!G489+OTCHET!G492+OTCHET!G493+OTCHET!G497</f>
        <v>0</v>
      </c>
      <c r="H69" s="984">
        <f>+OTCHET!H484+OTCHET!H485+OTCHET!H488+OTCHET!H489+OTCHET!H492+OTCHET!H493+OTCHET!H497</f>
        <v>0</v>
      </c>
      <c r="I69" s="984">
        <f>+OTCHET!I484+OTCHET!I485+OTCHET!I488+OTCHET!I489+OTCHET!I492+OTCHET!I493+OTCHET!I497</f>
        <v>0</v>
      </c>
      <c r="J69" s="985">
        <f>+OTCHET!J484+OTCHET!J485+OTCHET!J488+OTCHET!J489+OTCHET!J492+OTCHET!J493+OTCHET!J497</f>
        <v>0</v>
      </c>
      <c r="K69" s="897" t="e">
        <f>+#REF!+#REF!+#REF!+#REF!+#REF!+#REF!+#REF!</f>
        <v>#REF!</v>
      </c>
      <c r="L69" s="897" t="e">
        <f>+#REF!+#REF!+#REF!+#REF!+#REF!+#REF!+#REF!</f>
        <v>#REF!</v>
      </c>
      <c r="M69" s="897" t="e">
        <f>+#REF!+#REF!+#REF!+#REF!+#REF!+#REF!+#REF!</f>
        <v>#REF!</v>
      </c>
      <c r="N69" s="934"/>
      <c r="O69" s="1080" t="s">
        <v>1564</v>
      </c>
      <c r="P69" s="898"/>
      <c r="Q69" s="941"/>
      <c r="R69" s="1047"/>
      <c r="S69" s="1047"/>
      <c r="T69" s="1047"/>
      <c r="U69" s="1047"/>
      <c r="V69" s="1047"/>
      <c r="W69" s="1047"/>
      <c r="X69" s="1048"/>
      <c r="Y69" s="1047"/>
      <c r="Z69" s="1047"/>
    </row>
    <row r="70" spans="1:26" ht="15.75">
      <c r="A70" s="1055">
        <v>205</v>
      </c>
      <c r="B70" s="847" t="s">
        <v>929</v>
      </c>
      <c r="C70" s="847" t="s">
        <v>1565</v>
      </c>
      <c r="D70" s="847"/>
      <c r="E70" s="884">
        <f>+OTCHET!E486+OTCHET!E487+OTCHET!E490+OTCHET!E491+OTCHET!E494+OTCHET!E495+OTCHET!E496+OTCHET!E498</f>
        <v>0</v>
      </c>
      <c r="F70" s="884">
        <f t="shared" si="1"/>
        <v>0</v>
      </c>
      <c r="G70" s="1010">
        <f>+OTCHET!G486+OTCHET!G487+OTCHET!G490+OTCHET!G491+OTCHET!G494+OTCHET!G495+OTCHET!G496+OTCHET!G498</f>
        <v>0</v>
      </c>
      <c r="H70" s="1011">
        <f>+OTCHET!H486+OTCHET!H487+OTCHET!H490+OTCHET!H491+OTCHET!H494+OTCHET!H495+OTCHET!H496+OTCHET!H498</f>
        <v>0</v>
      </c>
      <c r="I70" s="1011">
        <f>+OTCHET!I486+OTCHET!I487+OTCHET!I490+OTCHET!I491+OTCHET!I494+OTCHET!I495+OTCHET!I496+OTCHET!I498</f>
        <v>0</v>
      </c>
      <c r="J70" s="1012">
        <f>+OTCHET!J486+OTCHET!J487+OTCHET!J490+OTCHET!J491+OTCHET!J494+OTCHET!J495+OTCHET!J496+OTCHET!J498</f>
        <v>0</v>
      </c>
      <c r="K70" s="897" t="e">
        <f>+#REF!+#REF!+#REF!+#REF!+#REF!+#REF!+#REF!+#REF!</f>
        <v>#REF!</v>
      </c>
      <c r="L70" s="897" t="e">
        <f>+#REF!+#REF!+#REF!+#REF!+#REF!+#REF!+#REF!+#REF!</f>
        <v>#REF!</v>
      </c>
      <c r="M70" s="897" t="e">
        <f>+#REF!+#REF!+#REF!+#REF!+#REF!+#REF!+#REF!+#REF!</f>
        <v>#REF!</v>
      </c>
      <c r="N70" s="934"/>
      <c r="O70" s="1087" t="s">
        <v>1565</v>
      </c>
      <c r="P70" s="898"/>
      <c r="Q70" s="941"/>
      <c r="R70" s="1047"/>
      <c r="S70" s="1047"/>
      <c r="T70" s="1047"/>
      <c r="U70" s="1047"/>
      <c r="V70" s="1047"/>
      <c r="W70" s="1047"/>
      <c r="X70" s="1048"/>
      <c r="Y70" s="1047"/>
      <c r="Z70" s="1047"/>
    </row>
    <row r="71" spans="1:26" ht="15.75">
      <c r="A71" s="1055">
        <v>210</v>
      </c>
      <c r="B71" s="847" t="s">
        <v>930</v>
      </c>
      <c r="C71" s="847" t="s">
        <v>905</v>
      </c>
      <c r="D71" s="847"/>
      <c r="E71" s="884">
        <f>+OTCHET!E499</f>
        <v>0</v>
      </c>
      <c r="F71" s="884">
        <f t="shared" si="1"/>
        <v>0</v>
      </c>
      <c r="G71" s="1010">
        <f>+OTCHET!G499</f>
        <v>0</v>
      </c>
      <c r="H71" s="1011">
        <f>+OTCHET!H499</f>
        <v>0</v>
      </c>
      <c r="I71" s="1011">
        <f>+OTCHET!I499</f>
        <v>0</v>
      </c>
      <c r="J71" s="1012">
        <f>+OTCHET!J499</f>
        <v>0</v>
      </c>
      <c r="K71" s="897" t="e">
        <f>+#REF!</f>
        <v>#REF!</v>
      </c>
      <c r="L71" s="897" t="e">
        <f>+#REF!</f>
        <v>#REF!</v>
      </c>
      <c r="M71" s="897" t="e">
        <f>+#REF!</f>
        <v>#REF!</v>
      </c>
      <c r="N71" s="934"/>
      <c r="O71" s="1087" t="s">
        <v>905</v>
      </c>
      <c r="P71" s="898"/>
      <c r="Q71" s="941"/>
      <c r="R71" s="1047"/>
      <c r="S71" s="1047"/>
      <c r="T71" s="1047"/>
      <c r="U71" s="1047"/>
      <c r="V71" s="1047"/>
      <c r="W71" s="1047"/>
      <c r="X71" s="1048"/>
      <c r="Y71" s="1047"/>
      <c r="Z71" s="1047"/>
    </row>
    <row r="72" spans="1:26" ht="15.75">
      <c r="A72" s="1055">
        <v>215</v>
      </c>
      <c r="B72" s="847" t="s">
        <v>1414</v>
      </c>
      <c r="C72" s="847" t="s">
        <v>906</v>
      </c>
      <c r="D72" s="847"/>
      <c r="E72" s="884">
        <f>+OTCHET!E504</f>
        <v>0</v>
      </c>
      <c r="F72" s="884">
        <f t="shared" si="1"/>
        <v>0</v>
      </c>
      <c r="G72" s="1010">
        <f>+OTCHET!G504</f>
        <v>0</v>
      </c>
      <c r="H72" s="1011">
        <f>+OTCHET!H504</f>
        <v>0</v>
      </c>
      <c r="I72" s="1011">
        <f>+OTCHET!I504</f>
        <v>0</v>
      </c>
      <c r="J72" s="1012">
        <f>+OTCHET!J504</f>
        <v>0</v>
      </c>
      <c r="K72" s="897" t="e">
        <f>+#REF!</f>
        <v>#REF!</v>
      </c>
      <c r="L72" s="897" t="e">
        <f>+#REF!</f>
        <v>#REF!</v>
      </c>
      <c r="M72" s="897" t="e">
        <f>+#REF!</f>
        <v>#REF!</v>
      </c>
      <c r="N72" s="934"/>
      <c r="O72" s="1087" t="s">
        <v>906</v>
      </c>
      <c r="P72" s="898"/>
      <c r="Q72" s="941"/>
      <c r="R72" s="1047"/>
      <c r="S72" s="1047"/>
      <c r="T72" s="1047"/>
      <c r="U72" s="1047"/>
      <c r="V72" s="1047"/>
      <c r="W72" s="1047"/>
      <c r="X72" s="1048"/>
      <c r="Y72" s="1047"/>
      <c r="Z72" s="1047"/>
    </row>
    <row r="73" spans="1:26" ht="15.75">
      <c r="A73" s="1055">
        <v>220</v>
      </c>
      <c r="B73" s="847" t="s">
        <v>931</v>
      </c>
      <c r="C73" s="847" t="s">
        <v>1566</v>
      </c>
      <c r="D73" s="847"/>
      <c r="E73" s="884">
        <f>+OTCHET!E544</f>
        <v>0</v>
      </c>
      <c r="F73" s="884">
        <f t="shared" si="1"/>
        <v>0</v>
      </c>
      <c r="G73" s="1010">
        <f>+OTCHET!G544</f>
        <v>0</v>
      </c>
      <c r="H73" s="1011">
        <f>+OTCHET!H544</f>
        <v>0</v>
      </c>
      <c r="I73" s="1011">
        <f>+OTCHET!I544</f>
        <v>0</v>
      </c>
      <c r="J73" s="1012">
        <f>+OTCHET!J544</f>
        <v>0</v>
      </c>
      <c r="K73" s="897" t="e">
        <f>+#REF!</f>
        <v>#REF!</v>
      </c>
      <c r="L73" s="897" t="e">
        <f>+#REF!</f>
        <v>#REF!</v>
      </c>
      <c r="M73" s="897" t="e">
        <f>+#REF!</f>
        <v>#REF!</v>
      </c>
      <c r="N73" s="934"/>
      <c r="O73" s="1087" t="s">
        <v>1566</v>
      </c>
      <c r="P73" s="898"/>
      <c r="Q73" s="941"/>
      <c r="R73" s="1047"/>
      <c r="S73" s="1047"/>
      <c r="T73" s="1047"/>
      <c r="U73" s="1047"/>
      <c r="V73" s="1047"/>
      <c r="W73" s="1047"/>
      <c r="X73" s="1048"/>
      <c r="Y73" s="1047"/>
      <c r="Z73" s="1047"/>
    </row>
    <row r="74" spans="1:26" ht="15.75">
      <c r="A74" s="1055">
        <v>230</v>
      </c>
      <c r="B74" s="899" t="s">
        <v>1577</v>
      </c>
      <c r="C74" s="899" t="s">
        <v>1567</v>
      </c>
      <c r="D74" s="899"/>
      <c r="E74" s="884">
        <f>+OTCHET!E583+OTCHET!E584</f>
        <v>0</v>
      </c>
      <c r="F74" s="884">
        <f t="shared" si="1"/>
        <v>0</v>
      </c>
      <c r="G74" s="1010">
        <f>+OTCHET!G583+OTCHET!G584</f>
        <v>0</v>
      </c>
      <c r="H74" s="1011">
        <f>+OTCHET!H583+OTCHET!H584</f>
        <v>0</v>
      </c>
      <c r="I74" s="1011">
        <f>+OTCHET!I583+OTCHET!I584</f>
        <v>0</v>
      </c>
      <c r="J74" s="1012">
        <f>+OTCHET!J583+OTCHET!J584</f>
        <v>0</v>
      </c>
      <c r="K74" s="897" t="e">
        <f>+#REF!+#REF!</f>
        <v>#REF!</v>
      </c>
      <c r="L74" s="897" t="e">
        <f>+#REF!+#REF!</f>
        <v>#REF!</v>
      </c>
      <c r="M74" s="897" t="e">
        <f>+#REF!+#REF!</f>
        <v>#REF!</v>
      </c>
      <c r="N74" s="934"/>
      <c r="O74" s="1087" t="s">
        <v>1567</v>
      </c>
      <c r="P74" s="898"/>
      <c r="Q74" s="941"/>
      <c r="R74" s="1047"/>
      <c r="S74" s="1047"/>
      <c r="T74" s="1047"/>
      <c r="U74" s="1047"/>
      <c r="V74" s="1047"/>
      <c r="W74" s="1047"/>
      <c r="X74" s="1048"/>
      <c r="Y74" s="1047"/>
      <c r="Z74" s="1047"/>
    </row>
    <row r="75" spans="1:26" ht="15.75">
      <c r="A75" s="1055">
        <v>235</v>
      </c>
      <c r="B75" s="905" t="s">
        <v>933</v>
      </c>
      <c r="C75" s="905" t="s">
        <v>1568</v>
      </c>
      <c r="D75" s="905"/>
      <c r="E75" s="841">
        <f>+OTCHET!E585+OTCHET!E586+OTCHET!E587</f>
        <v>0</v>
      </c>
      <c r="F75" s="841">
        <f t="shared" si="1"/>
        <v>0</v>
      </c>
      <c r="G75" s="986">
        <f>+OTCHET!G585+OTCHET!G586+OTCHET!G587</f>
        <v>0</v>
      </c>
      <c r="H75" s="987">
        <f>+OTCHET!H585+OTCHET!H586+OTCHET!H587</f>
        <v>0</v>
      </c>
      <c r="I75" s="987">
        <f>+OTCHET!I585+OTCHET!I586+OTCHET!I587</f>
        <v>0</v>
      </c>
      <c r="J75" s="988">
        <f>+OTCHET!J585+OTCHET!J586+OTCHET!J587</f>
        <v>0</v>
      </c>
      <c r="K75" s="897" t="e">
        <f>+#REF!+#REF!+#REF!</f>
        <v>#REF!</v>
      </c>
      <c r="L75" s="897" t="e">
        <f>+#REF!+#REF!+#REF!</f>
        <v>#REF!</v>
      </c>
      <c r="M75" s="897" t="e">
        <f>+#REF!+#REF!+#REF!</f>
        <v>#REF!</v>
      </c>
      <c r="N75" s="934"/>
      <c r="O75" s="1081" t="s">
        <v>1568</v>
      </c>
      <c r="P75" s="898"/>
      <c r="Q75" s="941"/>
      <c r="R75" s="1047"/>
      <c r="S75" s="1047"/>
      <c r="T75" s="1047"/>
      <c r="U75" s="1047"/>
      <c r="V75" s="1047"/>
      <c r="W75" s="1047"/>
      <c r="X75" s="1048"/>
      <c r="Y75" s="1047"/>
      <c r="Z75" s="1047"/>
    </row>
    <row r="76" spans="1:26" ht="15.75">
      <c r="A76" s="1055">
        <v>240</v>
      </c>
      <c r="B76" s="873" t="s">
        <v>932</v>
      </c>
      <c r="C76" s="874" t="s">
        <v>907</v>
      </c>
      <c r="D76" s="873"/>
      <c r="E76" s="888">
        <f>OTCHET!E463</f>
        <v>0</v>
      </c>
      <c r="F76" s="888">
        <f t="shared" si="1"/>
        <v>0</v>
      </c>
      <c r="G76" s="1007">
        <f>OTCHET!G463</f>
        <v>0</v>
      </c>
      <c r="H76" s="1008">
        <f>OTCHET!H463</f>
        <v>0</v>
      </c>
      <c r="I76" s="1008">
        <f>OTCHET!I463</f>
        <v>0</v>
      </c>
      <c r="J76" s="1009">
        <f>OTCHET!J463</f>
        <v>0</v>
      </c>
      <c r="K76" s="897" t="e">
        <f>#REF!</f>
        <v>#REF!</v>
      </c>
      <c r="L76" s="897" t="e">
        <f>#REF!</f>
        <v>#REF!</v>
      </c>
      <c r="M76" s="897" t="e">
        <f>#REF!</f>
        <v>#REF!</v>
      </c>
      <c r="N76" s="934"/>
      <c r="O76" s="1086" t="s">
        <v>907</v>
      </c>
      <c r="P76" s="898"/>
      <c r="Q76" s="941"/>
      <c r="R76" s="1047"/>
      <c r="S76" s="1047"/>
      <c r="T76" s="1047"/>
      <c r="U76" s="1047"/>
      <c r="V76" s="1047"/>
      <c r="W76" s="1047"/>
      <c r="X76" s="1048"/>
      <c r="Y76" s="1047"/>
      <c r="Z76" s="1047"/>
    </row>
    <row r="77" spans="1:26" ht="15.75">
      <c r="A77" s="1055">
        <v>245</v>
      </c>
      <c r="B77" s="869" t="s">
        <v>934</v>
      </c>
      <c r="C77" s="867" t="s">
        <v>946</v>
      </c>
      <c r="D77" s="869"/>
      <c r="E77" s="885">
        <f>SUM(E78:E83)</f>
        <v>0</v>
      </c>
      <c r="F77" s="885">
        <f>SUM(F78:F83)</f>
        <v>0</v>
      </c>
      <c r="G77" s="1013">
        <f aca="true" t="shared" si="10" ref="G77:M77">SUM(G78:G83)</f>
        <v>0</v>
      </c>
      <c r="H77" s="1014">
        <f>SUM(H78:H83)</f>
        <v>0</v>
      </c>
      <c r="I77" s="1014">
        <f>SUM(I78:I83)</f>
        <v>0</v>
      </c>
      <c r="J77" s="1015">
        <f>SUM(J78:J83)</f>
        <v>0</v>
      </c>
      <c r="K77" s="900">
        <f t="shared" si="10"/>
        <v>0</v>
      </c>
      <c r="L77" s="900">
        <f t="shared" si="10"/>
        <v>0</v>
      </c>
      <c r="M77" s="900">
        <f t="shared" si="10"/>
        <v>0</v>
      </c>
      <c r="N77" s="934"/>
      <c r="O77" s="1088" t="s">
        <v>946</v>
      </c>
      <c r="P77" s="898"/>
      <c r="Q77" s="941"/>
      <c r="R77" s="1047"/>
      <c r="S77" s="1047"/>
      <c r="T77" s="1047"/>
      <c r="U77" s="1047"/>
      <c r="V77" s="1047"/>
      <c r="W77" s="1047"/>
      <c r="X77" s="1048"/>
      <c r="Y77" s="1047"/>
      <c r="Z77" s="1047"/>
    </row>
    <row r="78" spans="1:26" ht="15.75">
      <c r="A78" s="1055">
        <v>250</v>
      </c>
      <c r="B78" s="838" t="s">
        <v>935</v>
      </c>
      <c r="C78" s="838" t="s">
        <v>1569</v>
      </c>
      <c r="D78" s="838"/>
      <c r="E78" s="839">
        <f>+OTCHET!E468+OTCHET!E471</f>
        <v>0</v>
      </c>
      <c r="F78" s="839">
        <f t="shared" si="1"/>
        <v>0</v>
      </c>
      <c r="G78" s="983">
        <f>+OTCHET!G468+OTCHET!G471</f>
        <v>0</v>
      </c>
      <c r="H78" s="984">
        <f>+OTCHET!H468+OTCHET!H471</f>
        <v>0</v>
      </c>
      <c r="I78" s="984">
        <f>+OTCHET!I468+OTCHET!I471</f>
        <v>0</v>
      </c>
      <c r="J78" s="985">
        <f>+OTCHET!J468+OTCHET!J471</f>
        <v>0</v>
      </c>
      <c r="K78" s="900"/>
      <c r="L78" s="900"/>
      <c r="M78" s="900"/>
      <c r="N78" s="934"/>
      <c r="O78" s="1080" t="s">
        <v>1569</v>
      </c>
      <c r="P78" s="898"/>
      <c r="Q78" s="941"/>
      <c r="R78" s="1047"/>
      <c r="S78" s="1047"/>
      <c r="T78" s="1047"/>
      <c r="U78" s="1047"/>
      <c r="V78" s="1047"/>
      <c r="W78" s="1047"/>
      <c r="X78" s="1048"/>
      <c r="Y78" s="1047"/>
      <c r="Z78" s="1047"/>
    </row>
    <row r="79" spans="1:26" ht="15.75">
      <c r="A79" s="1055">
        <v>260</v>
      </c>
      <c r="B79" s="847" t="s">
        <v>936</v>
      </c>
      <c r="C79" s="847" t="s">
        <v>1570</v>
      </c>
      <c r="D79" s="847"/>
      <c r="E79" s="884">
        <f>+OTCHET!E469+OTCHET!E472</f>
        <v>0</v>
      </c>
      <c r="F79" s="884">
        <f t="shared" si="1"/>
        <v>0</v>
      </c>
      <c r="G79" s="1010">
        <f>+OTCHET!G469+OTCHET!G472</f>
        <v>0</v>
      </c>
      <c r="H79" s="1011">
        <f>+OTCHET!H469+OTCHET!H472</f>
        <v>0</v>
      </c>
      <c r="I79" s="1011">
        <f>+OTCHET!I469+OTCHET!I472</f>
        <v>0</v>
      </c>
      <c r="J79" s="1012">
        <f>+OTCHET!J469+OTCHET!J472</f>
        <v>0</v>
      </c>
      <c r="K79" s="900"/>
      <c r="L79" s="900"/>
      <c r="M79" s="900"/>
      <c r="N79" s="934"/>
      <c r="O79" s="1087" t="s">
        <v>1570</v>
      </c>
      <c r="P79" s="898"/>
      <c r="Q79" s="941"/>
      <c r="R79" s="1047"/>
      <c r="S79" s="1047"/>
      <c r="T79" s="1047"/>
      <c r="U79" s="1047"/>
      <c r="V79" s="1047"/>
      <c r="W79" s="1047"/>
      <c r="X79" s="1048"/>
      <c r="Y79" s="1047"/>
      <c r="Z79" s="1047"/>
    </row>
    <row r="80" spans="1:26" ht="15.75">
      <c r="A80" s="1055">
        <v>265</v>
      </c>
      <c r="B80" s="847" t="s">
        <v>1674</v>
      </c>
      <c r="C80" s="847" t="s">
        <v>1571</v>
      </c>
      <c r="D80" s="847"/>
      <c r="E80" s="884">
        <f>OTCHET!E473</f>
        <v>0</v>
      </c>
      <c r="F80" s="884">
        <f t="shared" si="1"/>
        <v>0</v>
      </c>
      <c r="G80" s="1010">
        <f>OTCHET!G473</f>
        <v>0</v>
      </c>
      <c r="H80" s="1011">
        <f>OTCHET!H473</f>
        <v>0</v>
      </c>
      <c r="I80" s="1011">
        <f>OTCHET!I473</f>
        <v>0</v>
      </c>
      <c r="J80" s="1012">
        <f>OTCHET!J473</f>
        <v>0</v>
      </c>
      <c r="K80" s="900"/>
      <c r="L80" s="900"/>
      <c r="M80" s="900"/>
      <c r="N80" s="934"/>
      <c r="O80" s="1087" t="s">
        <v>1571</v>
      </c>
      <c r="P80" s="898"/>
      <c r="Q80" s="941"/>
      <c r="R80" s="1047"/>
      <c r="S80" s="1047"/>
      <c r="T80" s="1047"/>
      <c r="U80" s="1047"/>
      <c r="V80" s="1047"/>
      <c r="W80" s="1047"/>
      <c r="X80" s="1048"/>
      <c r="Y80" s="1047"/>
      <c r="Z80" s="1047"/>
    </row>
    <row r="81" spans="1:26" ht="15.75" customHeight="1" hidden="1">
      <c r="A81" s="1055"/>
      <c r="B81" s="847"/>
      <c r="C81" s="847"/>
      <c r="D81" s="847"/>
      <c r="E81" s="884"/>
      <c r="F81" s="884">
        <f t="shared" si="1"/>
        <v>0</v>
      </c>
      <c r="G81" s="1010"/>
      <c r="H81" s="1011"/>
      <c r="I81" s="1011"/>
      <c r="J81" s="1012"/>
      <c r="K81" s="900"/>
      <c r="L81" s="900"/>
      <c r="M81" s="900"/>
      <c r="N81" s="934"/>
      <c r="O81" s="1087"/>
      <c r="P81" s="898"/>
      <c r="Q81" s="941"/>
      <c r="R81" s="1047"/>
      <c r="S81" s="1047"/>
      <c r="T81" s="1047"/>
      <c r="U81" s="1047"/>
      <c r="V81" s="1047"/>
      <c r="W81" s="1047"/>
      <c r="X81" s="1048"/>
      <c r="Y81" s="1047"/>
      <c r="Z81" s="1047"/>
    </row>
    <row r="82" spans="1:26" ht="15.75">
      <c r="A82" s="1055">
        <v>270</v>
      </c>
      <c r="B82" s="847" t="s">
        <v>978</v>
      </c>
      <c r="C82" s="847" t="s">
        <v>1572</v>
      </c>
      <c r="D82" s="847"/>
      <c r="E82" s="884">
        <f>+OTCHET!E481</f>
        <v>0</v>
      </c>
      <c r="F82" s="884">
        <f t="shared" si="1"/>
        <v>0</v>
      </c>
      <c r="G82" s="1010">
        <f>+OTCHET!G481</f>
        <v>0</v>
      </c>
      <c r="H82" s="1011">
        <f>+OTCHET!H481</f>
        <v>0</v>
      </c>
      <c r="I82" s="1011">
        <f>+OTCHET!I481</f>
        <v>0</v>
      </c>
      <c r="J82" s="1012">
        <f>+OTCHET!J481</f>
        <v>0</v>
      </c>
      <c r="K82" s="900"/>
      <c r="L82" s="900"/>
      <c r="M82" s="900"/>
      <c r="N82" s="934"/>
      <c r="O82" s="1087" t="s">
        <v>1572</v>
      </c>
      <c r="P82" s="898"/>
      <c r="Q82" s="941"/>
      <c r="R82" s="1047"/>
      <c r="S82" s="1047"/>
      <c r="T82" s="1047"/>
      <c r="U82" s="1047"/>
      <c r="V82" s="1047"/>
      <c r="W82" s="1047"/>
      <c r="X82" s="1048"/>
      <c r="Y82" s="1047"/>
      <c r="Z82" s="1047"/>
    </row>
    <row r="83" spans="1:26" ht="15.75">
      <c r="A83" s="1055">
        <v>275</v>
      </c>
      <c r="B83" s="840" t="s">
        <v>977</v>
      </c>
      <c r="C83" s="840" t="s">
        <v>1573</v>
      </c>
      <c r="D83" s="840"/>
      <c r="E83" s="841">
        <f>+OTCHET!E482</f>
        <v>0</v>
      </c>
      <c r="F83" s="841">
        <f t="shared" si="1"/>
        <v>0</v>
      </c>
      <c r="G83" s="986">
        <f>+OTCHET!G482</f>
        <v>0</v>
      </c>
      <c r="H83" s="987">
        <f>+OTCHET!H482</f>
        <v>0</v>
      </c>
      <c r="I83" s="987">
        <f>+OTCHET!I482</f>
        <v>0</v>
      </c>
      <c r="J83" s="988">
        <f>+OTCHET!J482</f>
        <v>0</v>
      </c>
      <c r="K83" s="900"/>
      <c r="L83" s="900"/>
      <c r="M83" s="900"/>
      <c r="N83" s="934"/>
      <c r="O83" s="1081" t="s">
        <v>1573</v>
      </c>
      <c r="P83" s="898"/>
      <c r="Q83" s="941"/>
      <c r="R83" s="1047"/>
      <c r="S83" s="1047"/>
      <c r="T83" s="1047"/>
      <c r="U83" s="1047"/>
      <c r="V83" s="1047"/>
      <c r="W83" s="1047"/>
      <c r="X83" s="1048"/>
      <c r="Y83" s="1047"/>
      <c r="Z83" s="1047"/>
    </row>
    <row r="84" spans="1:26" ht="15.75">
      <c r="A84" s="1055">
        <v>280</v>
      </c>
      <c r="B84" s="873" t="s">
        <v>1449</v>
      </c>
      <c r="C84" s="874" t="s">
        <v>908</v>
      </c>
      <c r="D84" s="873"/>
      <c r="E84" s="888">
        <f>OTCHET!E537</f>
        <v>0</v>
      </c>
      <c r="F84" s="888">
        <f t="shared" si="1"/>
        <v>0</v>
      </c>
      <c r="G84" s="1007">
        <f>OTCHET!G537</f>
        <v>0</v>
      </c>
      <c r="H84" s="1008">
        <f>OTCHET!H537</f>
        <v>0</v>
      </c>
      <c r="I84" s="1008">
        <f>OTCHET!I537</f>
        <v>0</v>
      </c>
      <c r="J84" s="1009">
        <f>OTCHET!J537</f>
        <v>0</v>
      </c>
      <c r="K84" s="900"/>
      <c r="L84" s="900"/>
      <c r="M84" s="900"/>
      <c r="N84" s="934"/>
      <c r="O84" s="1086" t="s">
        <v>908</v>
      </c>
      <c r="P84" s="898"/>
      <c r="Q84" s="941"/>
      <c r="R84" s="1047"/>
      <c r="S84" s="1047"/>
      <c r="T84" s="1047"/>
      <c r="U84" s="1047"/>
      <c r="V84" s="1047"/>
      <c r="W84" s="1047"/>
      <c r="X84" s="1048"/>
      <c r="Y84" s="1047"/>
      <c r="Z84" s="1047"/>
    </row>
    <row r="85" spans="1:26" ht="15.75">
      <c r="A85" s="1055">
        <v>285</v>
      </c>
      <c r="B85" s="866" t="s">
        <v>1675</v>
      </c>
      <c r="C85" s="847" t="s">
        <v>909</v>
      </c>
      <c r="D85" s="866"/>
      <c r="E85" s="884">
        <f>OTCHET!E538</f>
        <v>0</v>
      </c>
      <c r="F85" s="884">
        <f t="shared" si="1"/>
        <v>0</v>
      </c>
      <c r="G85" s="1010">
        <f>OTCHET!G538</f>
        <v>0</v>
      </c>
      <c r="H85" s="1011">
        <f>OTCHET!H538</f>
        <v>0</v>
      </c>
      <c r="I85" s="1011">
        <f>OTCHET!I538</f>
        <v>0</v>
      </c>
      <c r="J85" s="1012">
        <f>OTCHET!J538</f>
        <v>0</v>
      </c>
      <c r="K85" s="900"/>
      <c r="L85" s="900"/>
      <c r="M85" s="900"/>
      <c r="N85" s="934"/>
      <c r="O85" s="1087" t="s">
        <v>909</v>
      </c>
      <c r="P85" s="898"/>
      <c r="Q85" s="941"/>
      <c r="R85" s="1047"/>
      <c r="S85" s="1047"/>
      <c r="T85" s="1047"/>
      <c r="U85" s="1047"/>
      <c r="V85" s="1047"/>
      <c r="W85" s="1047"/>
      <c r="X85" s="1048"/>
      <c r="Y85" s="1047"/>
      <c r="Z85" s="1047"/>
    </row>
    <row r="86" spans="1:26" ht="15.75">
      <c r="A86" s="1055">
        <v>290</v>
      </c>
      <c r="B86" s="869" t="s">
        <v>915</v>
      </c>
      <c r="C86" s="867" t="s">
        <v>1042</v>
      </c>
      <c r="D86" s="869"/>
      <c r="E86" s="885">
        <f>+E87+E88</f>
        <v>0</v>
      </c>
      <c r="F86" s="885">
        <f>+F87+F88</f>
        <v>0</v>
      </c>
      <c r="G86" s="1013">
        <f aca="true" t="shared" si="11" ref="G86:M86">+G87+G88</f>
        <v>0</v>
      </c>
      <c r="H86" s="1014">
        <f>+H87+H88</f>
        <v>0</v>
      </c>
      <c r="I86" s="1014">
        <f>+I87+I88</f>
        <v>0</v>
      </c>
      <c r="J86" s="1015">
        <f>+J87+J88</f>
        <v>0</v>
      </c>
      <c r="K86" s="900">
        <f t="shared" si="11"/>
        <v>0</v>
      </c>
      <c r="L86" s="900">
        <f t="shared" si="11"/>
        <v>0</v>
      </c>
      <c r="M86" s="900">
        <f t="shared" si="11"/>
        <v>0</v>
      </c>
      <c r="N86" s="934"/>
      <c r="O86" s="1088" t="s">
        <v>1042</v>
      </c>
      <c r="P86" s="898"/>
      <c r="Q86" s="941"/>
      <c r="R86" s="1047"/>
      <c r="S86" s="1047"/>
      <c r="T86" s="1047"/>
      <c r="U86" s="1047"/>
      <c r="V86" s="1047"/>
      <c r="W86" s="1047"/>
      <c r="X86" s="1048"/>
      <c r="Y86" s="1047"/>
      <c r="Z86" s="1047"/>
    </row>
    <row r="87" spans="1:26" ht="15.75">
      <c r="A87" s="1055">
        <v>295</v>
      </c>
      <c r="B87" s="838" t="s">
        <v>914</v>
      </c>
      <c r="C87" s="838" t="s">
        <v>1043</v>
      </c>
      <c r="D87" s="906"/>
      <c r="E87" s="839">
        <f>+OTCHET!E505+OTCHET!E514+OTCHET!E518+OTCHET!E545</f>
        <v>0</v>
      </c>
      <c r="F87" s="839">
        <f t="shared" si="1"/>
        <v>0</v>
      </c>
      <c r="G87" s="983">
        <f>+OTCHET!G505+OTCHET!G514+OTCHET!G518+OTCHET!G545</f>
        <v>0</v>
      </c>
      <c r="H87" s="984">
        <f>+OTCHET!H505+OTCHET!H514+OTCHET!H518+OTCHET!H545</f>
        <v>0</v>
      </c>
      <c r="I87" s="984">
        <f>+OTCHET!I505+OTCHET!I514+OTCHET!I518+OTCHET!I545</f>
        <v>0</v>
      </c>
      <c r="J87" s="985">
        <f>+OTCHET!J505+OTCHET!J514+OTCHET!J518+OTCHET!J545</f>
        <v>0</v>
      </c>
      <c r="K87" s="900"/>
      <c r="L87" s="900"/>
      <c r="M87" s="900"/>
      <c r="N87" s="934"/>
      <c r="O87" s="1080" t="s">
        <v>1043</v>
      </c>
      <c r="P87" s="898"/>
      <c r="Q87" s="941"/>
      <c r="R87" s="1047"/>
      <c r="S87" s="1047"/>
      <c r="T87" s="1047"/>
      <c r="U87" s="1047"/>
      <c r="V87" s="1047"/>
      <c r="W87" s="1047"/>
      <c r="X87" s="1048"/>
      <c r="Y87" s="1047"/>
      <c r="Z87" s="1047"/>
    </row>
    <row r="88" spans="1:26" ht="15.75">
      <c r="A88" s="1055">
        <v>300</v>
      </c>
      <c r="B88" s="840" t="s">
        <v>938</v>
      </c>
      <c r="C88" s="840" t="s">
        <v>611</v>
      </c>
      <c r="D88" s="907"/>
      <c r="E88" s="841">
        <f>+OTCHET!E523+OTCHET!E526+OTCHET!E546</f>
        <v>0</v>
      </c>
      <c r="F88" s="841">
        <f t="shared" si="1"/>
        <v>0</v>
      </c>
      <c r="G88" s="986">
        <f>+OTCHET!G523+OTCHET!G526+OTCHET!G546</f>
        <v>0</v>
      </c>
      <c r="H88" s="987">
        <f>+OTCHET!H523+OTCHET!H526+OTCHET!H546</f>
        <v>0</v>
      </c>
      <c r="I88" s="987">
        <f>+OTCHET!I523+OTCHET!I526+OTCHET!I546</f>
        <v>0</v>
      </c>
      <c r="J88" s="988">
        <f>+OTCHET!J523+OTCHET!J526+OTCHET!J546</f>
        <v>0</v>
      </c>
      <c r="K88" s="900"/>
      <c r="L88" s="900"/>
      <c r="M88" s="900"/>
      <c r="N88" s="934"/>
      <c r="O88" s="1081" t="s">
        <v>611</v>
      </c>
      <c r="P88" s="898"/>
      <c r="Q88" s="941"/>
      <c r="R88" s="1047"/>
      <c r="S88" s="1047"/>
      <c r="T88" s="1047"/>
      <c r="U88" s="1047"/>
      <c r="V88" s="1047"/>
      <c r="W88" s="1047"/>
      <c r="X88" s="1048"/>
      <c r="Y88" s="1047"/>
      <c r="Z88" s="1047"/>
    </row>
    <row r="89" spans="1:26" ht="15.75">
      <c r="A89" s="1055">
        <v>310</v>
      </c>
      <c r="B89" s="873" t="s">
        <v>1405</v>
      </c>
      <c r="C89" s="874" t="s">
        <v>910</v>
      </c>
      <c r="D89" s="904"/>
      <c r="E89" s="888">
        <f>OTCHET!E533</f>
        <v>0</v>
      </c>
      <c r="F89" s="888">
        <f aca="true" t="shared" si="12" ref="F89:F96">+G89+H89+I89+J89</f>
        <v>0</v>
      </c>
      <c r="G89" s="1007">
        <f>OTCHET!G533</f>
        <v>0</v>
      </c>
      <c r="H89" s="1008">
        <f>OTCHET!H533</f>
        <v>0</v>
      </c>
      <c r="I89" s="1008">
        <f>OTCHET!I533</f>
        <v>0</v>
      </c>
      <c r="J89" s="1009">
        <f>OTCHET!J533</f>
        <v>0</v>
      </c>
      <c r="K89" s="900"/>
      <c r="L89" s="900"/>
      <c r="M89" s="900"/>
      <c r="N89" s="934"/>
      <c r="O89" s="1086" t="s">
        <v>910</v>
      </c>
      <c r="P89" s="898"/>
      <c r="Q89" s="941"/>
      <c r="R89" s="1047"/>
      <c r="S89" s="1047"/>
      <c r="T89" s="1047"/>
      <c r="U89" s="1047"/>
      <c r="V89" s="1047"/>
      <c r="W89" s="1047"/>
      <c r="X89" s="1048"/>
      <c r="Y89" s="1047"/>
      <c r="Z89" s="1047"/>
    </row>
    <row r="90" spans="1:26" ht="15.75">
      <c r="A90" s="1055">
        <v>320</v>
      </c>
      <c r="B90" s="866" t="s">
        <v>913</v>
      </c>
      <c r="C90" s="847" t="s">
        <v>1574</v>
      </c>
      <c r="D90" s="866"/>
      <c r="E90" s="884">
        <f>+OTCHET!E569+OTCHET!E570+OTCHET!E571+OTCHET!E572+OTCHET!E573+OTCHET!E574</f>
        <v>0</v>
      </c>
      <c r="F90" s="884">
        <f t="shared" si="12"/>
        <v>0</v>
      </c>
      <c r="G90" s="1010">
        <f>+OTCHET!G569+OTCHET!G570+OTCHET!G571+OTCHET!G572+OTCHET!G573+OTCHET!G574</f>
        <v>0</v>
      </c>
      <c r="H90" s="1011">
        <f>+OTCHET!H569+OTCHET!H570+OTCHET!H571+OTCHET!H572+OTCHET!H573+OTCHET!H574</f>
        <v>0</v>
      </c>
      <c r="I90" s="1011">
        <f>+OTCHET!I569+OTCHET!I570+OTCHET!I571+OTCHET!I572+OTCHET!I573+OTCHET!I574</f>
        <v>0</v>
      </c>
      <c r="J90" s="1012">
        <f>+OTCHET!J569+OTCHET!J570+OTCHET!J571+OTCHET!J572+OTCHET!J573+OTCHET!J574</f>
        <v>0</v>
      </c>
      <c r="K90" s="900"/>
      <c r="L90" s="900"/>
      <c r="M90" s="900"/>
      <c r="N90" s="934"/>
      <c r="O90" s="1087" t="s">
        <v>1574</v>
      </c>
      <c r="P90" s="898"/>
      <c r="Q90" s="941"/>
      <c r="R90" s="1047"/>
      <c r="S90" s="1047"/>
      <c r="T90" s="1047"/>
      <c r="U90" s="1047"/>
      <c r="V90" s="1047"/>
      <c r="W90" s="1047"/>
      <c r="X90" s="1048"/>
      <c r="Y90" s="1047"/>
      <c r="Z90" s="1047"/>
    </row>
    <row r="91" spans="1:26" ht="15.75">
      <c r="A91" s="1055">
        <v>330</v>
      </c>
      <c r="B91" s="899" t="s">
        <v>912</v>
      </c>
      <c r="C91" s="899" t="s">
        <v>1575</v>
      </c>
      <c r="D91" s="899"/>
      <c r="E91" s="859">
        <f>+OTCHET!E575+OTCHET!E576+OTCHET!E577+OTCHET!E578+OTCHET!E579+OTCHET!E580+OTCHET!E581</f>
        <v>-37430800</v>
      </c>
      <c r="F91" s="859">
        <f t="shared" si="12"/>
        <v>-17491</v>
      </c>
      <c r="G91" s="974">
        <f>+OTCHET!G575+OTCHET!G576+OTCHET!G577+OTCHET!G578+OTCHET!G579+OTCHET!G580+OTCHET!G581</f>
        <v>0</v>
      </c>
      <c r="H91" s="975">
        <f>+OTCHET!H575+OTCHET!H576+OTCHET!H577+OTCHET!H578+OTCHET!H579+OTCHET!H580+OTCHET!H581</f>
        <v>0</v>
      </c>
      <c r="I91" s="975">
        <f>+OTCHET!I575+OTCHET!I576+OTCHET!I577+OTCHET!I578+OTCHET!I579+OTCHET!I580+OTCHET!I581</f>
        <v>-17491</v>
      </c>
      <c r="J91" s="976">
        <f>+OTCHET!J575+OTCHET!J576+OTCHET!J577+OTCHET!J578+OTCHET!J579+OTCHET!J580+OTCHET!J581</f>
        <v>0</v>
      </c>
      <c r="K91" s="901"/>
      <c r="L91" s="901"/>
      <c r="M91" s="901"/>
      <c r="N91" s="934"/>
      <c r="O91" s="1077" t="s">
        <v>1575</v>
      </c>
      <c r="P91" s="898"/>
      <c r="Q91" s="941"/>
      <c r="R91" s="1047"/>
      <c r="S91" s="1047"/>
      <c r="T91" s="1047"/>
      <c r="U91" s="1047"/>
      <c r="V91" s="1047"/>
      <c r="W91" s="1047"/>
      <c r="X91" s="1048"/>
      <c r="Y91" s="1047"/>
      <c r="Z91" s="1047"/>
    </row>
    <row r="92" spans="1:26" ht="15.75">
      <c r="A92" s="1055">
        <v>335</v>
      </c>
      <c r="B92" s="847" t="s">
        <v>911</v>
      </c>
      <c r="C92" s="847" t="s">
        <v>1576</v>
      </c>
      <c r="D92" s="899"/>
      <c r="E92" s="859">
        <f>+OTCHET!E582</f>
        <v>0</v>
      </c>
      <c r="F92" s="859">
        <f t="shared" si="12"/>
        <v>-4</v>
      </c>
      <c r="G92" s="974">
        <f>+OTCHET!G582</f>
        <v>0</v>
      </c>
      <c r="H92" s="975">
        <f>+OTCHET!H582</f>
        <v>0</v>
      </c>
      <c r="I92" s="975">
        <f>+OTCHET!I582</f>
        <v>-4</v>
      </c>
      <c r="J92" s="976">
        <f>+OTCHET!J582</f>
        <v>0</v>
      </c>
      <c r="K92" s="901"/>
      <c r="L92" s="901"/>
      <c r="M92" s="901"/>
      <c r="N92" s="934"/>
      <c r="O92" s="1077" t="s">
        <v>1576</v>
      </c>
      <c r="P92" s="898"/>
      <c r="Q92" s="941"/>
      <c r="R92" s="1047"/>
      <c r="S92" s="1047"/>
      <c r="T92" s="1047"/>
      <c r="U92" s="1047"/>
      <c r="V92" s="1047"/>
      <c r="W92" s="1047"/>
      <c r="X92" s="1048"/>
      <c r="Y92" s="1047"/>
      <c r="Z92" s="1047"/>
    </row>
    <row r="93" spans="1:26" ht="15.75">
      <c r="A93" s="1055">
        <v>340</v>
      </c>
      <c r="B93" s="847" t="s">
        <v>1582</v>
      </c>
      <c r="C93" s="847" t="s">
        <v>1583</v>
      </c>
      <c r="D93" s="847"/>
      <c r="E93" s="859">
        <f>+OTCHET!E589+OTCHET!E590</f>
        <v>0</v>
      </c>
      <c r="F93" s="859">
        <f t="shared" si="12"/>
        <v>0</v>
      </c>
      <c r="G93" s="974">
        <f>+OTCHET!G589+OTCHET!G590</f>
        <v>0</v>
      </c>
      <c r="H93" s="975">
        <f>+OTCHET!H589+OTCHET!H590</f>
        <v>0</v>
      </c>
      <c r="I93" s="975">
        <f>+OTCHET!I589+OTCHET!I590</f>
        <v>0</v>
      </c>
      <c r="J93" s="976">
        <f>+OTCHET!J589+OTCHET!J590</f>
        <v>0</v>
      </c>
      <c r="K93" s="901"/>
      <c r="L93" s="901"/>
      <c r="M93" s="901"/>
      <c r="N93" s="934"/>
      <c r="O93" s="1077" t="s">
        <v>1583</v>
      </c>
      <c r="P93" s="898"/>
      <c r="Q93" s="941"/>
      <c r="R93" s="1047"/>
      <c r="S93" s="1047"/>
      <c r="T93" s="1047"/>
      <c r="U93" s="1047"/>
      <c r="V93" s="1047"/>
      <c r="W93" s="1047"/>
      <c r="X93" s="1048"/>
      <c r="Y93" s="1047"/>
      <c r="Z93" s="1047"/>
    </row>
    <row r="94" spans="1:26" ht="15.75">
      <c r="A94" s="1055">
        <v>345</v>
      </c>
      <c r="B94" s="847" t="s">
        <v>1584</v>
      </c>
      <c r="C94" s="899" t="s">
        <v>1585</v>
      </c>
      <c r="D94" s="847"/>
      <c r="E94" s="859">
        <f>+OTCHET!E591+OTCHET!E592</f>
        <v>0</v>
      </c>
      <c r="F94" s="859">
        <f t="shared" si="12"/>
        <v>0</v>
      </c>
      <c r="G94" s="974">
        <f>+OTCHET!G591+OTCHET!G592</f>
        <v>0</v>
      </c>
      <c r="H94" s="975">
        <f>+OTCHET!H591+OTCHET!H592</f>
        <v>0</v>
      </c>
      <c r="I94" s="975">
        <f>+OTCHET!I591+OTCHET!I592</f>
        <v>0</v>
      </c>
      <c r="J94" s="976">
        <f>+OTCHET!J591+OTCHET!J592</f>
        <v>0</v>
      </c>
      <c r="K94" s="901"/>
      <c r="L94" s="901"/>
      <c r="M94" s="901"/>
      <c r="N94" s="934"/>
      <c r="O94" s="1077" t="s">
        <v>1585</v>
      </c>
      <c r="P94" s="898"/>
      <c r="Q94" s="941"/>
      <c r="R94" s="1047"/>
      <c r="S94" s="1047"/>
      <c r="T94" s="1047"/>
      <c r="U94" s="1047"/>
      <c r="V94" s="1047"/>
      <c r="W94" s="1047"/>
      <c r="X94" s="1048"/>
      <c r="Y94" s="1047"/>
      <c r="Z94" s="1047"/>
    </row>
    <row r="95" spans="1:26" ht="15.75">
      <c r="A95" s="1055">
        <v>350</v>
      </c>
      <c r="B95" s="867" t="s">
        <v>1676</v>
      </c>
      <c r="C95" s="867" t="s">
        <v>939</v>
      </c>
      <c r="D95" s="867"/>
      <c r="E95" s="861">
        <f>OTCHET!E593</f>
        <v>0</v>
      </c>
      <c r="F95" s="861">
        <f t="shared" si="12"/>
        <v>0</v>
      </c>
      <c r="G95" s="953">
        <f>OTCHET!G593</f>
        <v>-56109</v>
      </c>
      <c r="H95" s="954">
        <f>OTCHET!H593</f>
        <v>0</v>
      </c>
      <c r="I95" s="954">
        <f>OTCHET!I593</f>
        <v>56109</v>
      </c>
      <c r="J95" s="955">
        <f>OTCHET!J593</f>
        <v>0</v>
      </c>
      <c r="K95" s="901"/>
      <c r="L95" s="901"/>
      <c r="M95" s="901"/>
      <c r="N95" s="934"/>
      <c r="O95" s="1073" t="s">
        <v>939</v>
      </c>
      <c r="P95" s="898"/>
      <c r="Q95" s="941"/>
      <c r="R95" s="1047"/>
      <c r="S95" s="1047"/>
      <c r="T95" s="1047"/>
      <c r="U95" s="1047"/>
      <c r="V95" s="1047"/>
      <c r="W95" s="1047"/>
      <c r="X95" s="1048"/>
      <c r="Y95" s="1047"/>
      <c r="Z95" s="1047"/>
    </row>
    <row r="96" spans="1:26" ht="16.5" thickBot="1">
      <c r="A96" s="1056">
        <v>355</v>
      </c>
      <c r="B96" s="908" t="s">
        <v>781</v>
      </c>
      <c r="C96" s="908" t="s">
        <v>780</v>
      </c>
      <c r="D96" s="908"/>
      <c r="E96" s="909">
        <f>+OTCHET!E596</f>
        <v>0</v>
      </c>
      <c r="F96" s="909">
        <f t="shared" si="12"/>
        <v>0</v>
      </c>
      <c r="G96" s="1031">
        <f>+OTCHET!G596</f>
        <v>-11259</v>
      </c>
      <c r="H96" s="1032">
        <f>+OTCHET!H596</f>
        <v>0</v>
      </c>
      <c r="I96" s="1032">
        <f>+OTCHET!I596</f>
        <v>11259</v>
      </c>
      <c r="J96" s="1033">
        <f>+OTCHET!J596</f>
        <v>0</v>
      </c>
      <c r="K96" s="902"/>
      <c r="L96" s="902"/>
      <c r="M96" s="902"/>
      <c r="N96" s="934"/>
      <c r="O96" s="1095" t="s">
        <v>780</v>
      </c>
      <c r="P96" s="903"/>
      <c r="Q96" s="941"/>
      <c r="R96" s="1047"/>
      <c r="S96" s="1047"/>
      <c r="T96" s="1047"/>
      <c r="U96" s="1047"/>
      <c r="V96" s="1047"/>
      <c r="W96" s="1047"/>
      <c r="X96" s="1048"/>
      <c r="Y96" s="1047"/>
      <c r="Z96" s="1047"/>
    </row>
    <row r="97" spans="2:26" ht="16.5" hidden="1" thickBot="1">
      <c r="B97" s="825" t="s">
        <v>891</v>
      </c>
      <c r="C97" s="825"/>
      <c r="D97" s="825"/>
      <c r="E97" s="826"/>
      <c r="F97" s="826"/>
      <c r="G97" s="826"/>
      <c r="H97" s="826"/>
      <c r="I97" s="826"/>
      <c r="J97" s="826"/>
      <c r="K97" s="431"/>
      <c r="L97" s="431"/>
      <c r="M97" s="431"/>
      <c r="N97" s="936"/>
      <c r="O97" s="825"/>
      <c r="P97" s="443"/>
      <c r="Q97" s="941"/>
      <c r="R97" s="1047"/>
      <c r="S97" s="1047"/>
      <c r="T97" s="1047"/>
      <c r="U97" s="1047"/>
      <c r="V97" s="1047"/>
      <c r="W97" s="1047"/>
      <c r="X97" s="1048"/>
      <c r="Y97" s="1047"/>
      <c r="Z97" s="1047"/>
    </row>
    <row r="98" spans="2:26" ht="16.5" hidden="1" thickBot="1">
      <c r="B98" s="825" t="s">
        <v>892</v>
      </c>
      <c r="C98" s="825"/>
      <c r="D98" s="825"/>
      <c r="E98" s="826"/>
      <c r="F98" s="826"/>
      <c r="G98" s="826"/>
      <c r="H98" s="826"/>
      <c r="I98" s="826"/>
      <c r="J98" s="826"/>
      <c r="K98" s="431"/>
      <c r="L98" s="431"/>
      <c r="M98" s="431"/>
      <c r="N98" s="936"/>
      <c r="O98" s="825"/>
      <c r="P98" s="443"/>
      <c r="Q98" s="941"/>
      <c r="R98" s="1047"/>
      <c r="S98" s="1047"/>
      <c r="T98" s="1047"/>
      <c r="U98" s="1047"/>
      <c r="V98" s="1047"/>
      <c r="W98" s="1047"/>
      <c r="X98" s="1048"/>
      <c r="Y98" s="1047"/>
      <c r="Z98" s="1047"/>
    </row>
    <row r="99" spans="2:26" ht="16.5" hidden="1" thickBot="1">
      <c r="B99" s="825" t="s">
        <v>893</v>
      </c>
      <c r="C99" s="825"/>
      <c r="D99" s="825"/>
      <c r="E99" s="826"/>
      <c r="F99" s="826"/>
      <c r="G99" s="826"/>
      <c r="H99" s="826"/>
      <c r="I99" s="826"/>
      <c r="J99" s="827"/>
      <c r="K99" s="452"/>
      <c r="L99" s="452"/>
      <c r="M99" s="452"/>
      <c r="N99" s="936"/>
      <c r="O99" s="825"/>
      <c r="P99" s="443"/>
      <c r="Q99" s="941"/>
      <c r="R99" s="1047"/>
      <c r="S99" s="1047"/>
      <c r="T99" s="1047"/>
      <c r="U99" s="1047"/>
      <c r="V99" s="1047"/>
      <c r="W99" s="1047"/>
      <c r="X99" s="1048"/>
      <c r="Y99" s="1047"/>
      <c r="Z99" s="1047"/>
    </row>
    <row r="100" spans="2:26" ht="16.5" hidden="1" thickBot="1">
      <c r="B100" s="828" t="s">
        <v>894</v>
      </c>
      <c r="C100" s="829"/>
      <c r="D100" s="829"/>
      <c r="E100" s="826"/>
      <c r="F100" s="826"/>
      <c r="G100" s="826"/>
      <c r="H100" s="826"/>
      <c r="I100" s="826"/>
      <c r="J100" s="827"/>
      <c r="K100" s="452"/>
      <c r="L100" s="452"/>
      <c r="M100" s="452"/>
      <c r="N100" s="936"/>
      <c r="O100" s="829"/>
      <c r="P100" s="443"/>
      <c r="Q100" s="941"/>
      <c r="R100" s="1047"/>
      <c r="S100" s="1047"/>
      <c r="T100" s="1047"/>
      <c r="U100" s="1047"/>
      <c r="V100" s="1047"/>
      <c r="W100" s="1047"/>
      <c r="X100" s="1048"/>
      <c r="Y100" s="1047"/>
      <c r="Z100" s="1047"/>
    </row>
    <row r="101" spans="2:26" ht="16.5" hidden="1" thickBot="1">
      <c r="B101" s="828"/>
      <c r="C101" s="828"/>
      <c r="D101" s="828"/>
      <c r="E101" s="830"/>
      <c r="F101" s="830"/>
      <c r="G101" s="830"/>
      <c r="H101" s="830"/>
      <c r="I101" s="830"/>
      <c r="J101" s="830"/>
      <c r="K101" s="454"/>
      <c r="L101" s="454"/>
      <c r="M101" s="454"/>
      <c r="N101" s="935"/>
      <c r="O101" s="828"/>
      <c r="P101" s="434"/>
      <c r="Q101" s="941"/>
      <c r="R101" s="1047"/>
      <c r="S101" s="1047"/>
      <c r="T101" s="1047"/>
      <c r="U101" s="1047"/>
      <c r="V101" s="1047"/>
      <c r="W101" s="1047"/>
      <c r="X101" s="1048"/>
      <c r="Y101" s="1047"/>
      <c r="Z101" s="1047"/>
    </row>
    <row r="102" spans="2:26" ht="16.5" hidden="1" thickBot="1">
      <c r="B102" s="829" t="s">
        <v>895</v>
      </c>
      <c r="C102" s="829"/>
      <c r="D102" s="829"/>
      <c r="E102" s="830"/>
      <c r="F102" s="830"/>
      <c r="G102" s="830"/>
      <c r="H102" s="830"/>
      <c r="I102" s="830"/>
      <c r="J102" s="830"/>
      <c r="K102" s="453"/>
      <c r="L102" s="453"/>
      <c r="M102" s="453"/>
      <c r="N102" s="935"/>
      <c r="O102" s="829"/>
      <c r="P102" s="434"/>
      <c r="Q102" s="941"/>
      <c r="R102" s="1047"/>
      <c r="S102" s="1047"/>
      <c r="T102" s="1047"/>
      <c r="U102" s="1047"/>
      <c r="V102" s="1047"/>
      <c r="W102" s="1047"/>
      <c r="X102" s="1048"/>
      <c r="Y102" s="1047"/>
      <c r="Z102" s="1047"/>
    </row>
    <row r="103" spans="2:26" ht="16.5" hidden="1" thickBot="1">
      <c r="B103" s="825" t="s">
        <v>893</v>
      </c>
      <c r="C103" s="825"/>
      <c r="D103" s="825"/>
      <c r="E103" s="830"/>
      <c r="F103" s="831"/>
      <c r="G103" s="831"/>
      <c r="H103" s="831"/>
      <c r="I103" s="830"/>
      <c r="J103" s="830"/>
      <c r="K103" s="454"/>
      <c r="L103" s="454"/>
      <c r="M103" s="454"/>
      <c r="N103" s="935"/>
      <c r="O103" s="825"/>
      <c r="P103" s="434"/>
      <c r="Q103" s="941"/>
      <c r="R103" s="1047"/>
      <c r="S103" s="1047"/>
      <c r="T103" s="1047"/>
      <c r="U103" s="1047"/>
      <c r="V103" s="1047"/>
      <c r="W103" s="1047"/>
      <c r="X103" s="1048"/>
      <c r="Y103" s="1047"/>
      <c r="Z103" s="1047"/>
    </row>
    <row r="104" spans="2:26" ht="16.5" hidden="1" thickBot="1">
      <c r="B104" s="1992" t="s">
        <v>894</v>
      </c>
      <c r="C104" s="828"/>
      <c r="D104" s="828"/>
      <c r="E104" s="830"/>
      <c r="F104" s="831"/>
      <c r="G104" s="831"/>
      <c r="H104" s="831"/>
      <c r="I104" s="830"/>
      <c r="J104" s="830"/>
      <c r="K104" s="454"/>
      <c r="L104" s="454"/>
      <c r="M104" s="453"/>
      <c r="N104" s="937"/>
      <c r="O104" s="828"/>
      <c r="P104" s="434"/>
      <c r="Q104" s="941"/>
      <c r="R104" s="1047"/>
      <c r="S104" s="1047"/>
      <c r="T104" s="1047"/>
      <c r="U104" s="1047"/>
      <c r="V104" s="1047"/>
      <c r="W104" s="1047"/>
      <c r="X104" s="1048"/>
      <c r="Y104" s="1047"/>
      <c r="Z104" s="1047"/>
    </row>
    <row r="105" spans="2:26" ht="15.75">
      <c r="B105" s="1993">
        <f>+IF(+SUM(E$65:J$65)=0,0,"Контрола: дефицит/излишък = финансиране с обратен знак (V. + VІ. = 0)")</f>
        <v>0</v>
      </c>
      <c r="C105" s="1106"/>
      <c r="D105" s="1106"/>
      <c r="E105" s="1107">
        <f aca="true" t="shared" si="13" ref="E105:J105">+E$64+E$66</f>
        <v>0</v>
      </c>
      <c r="F105" s="1107">
        <f t="shared" si="13"/>
        <v>0</v>
      </c>
      <c r="G105" s="1108">
        <f t="shared" si="13"/>
        <v>0</v>
      </c>
      <c r="H105" s="1108">
        <f t="shared" si="13"/>
        <v>0</v>
      </c>
      <c r="I105" s="1108">
        <f t="shared" si="13"/>
        <v>0</v>
      </c>
      <c r="J105" s="1108">
        <f t="shared" si="13"/>
        <v>0</v>
      </c>
      <c r="K105" s="455"/>
      <c r="L105" s="455"/>
      <c r="M105" s="455"/>
      <c r="N105" s="937"/>
      <c r="O105" s="832"/>
      <c r="P105" s="434"/>
      <c r="Q105" s="941"/>
      <c r="R105" s="1047"/>
      <c r="S105" s="1047"/>
      <c r="T105" s="1047"/>
      <c r="U105" s="1047"/>
      <c r="V105" s="1047"/>
      <c r="W105" s="1047"/>
      <c r="X105" s="1048"/>
      <c r="Y105" s="1047"/>
      <c r="Z105" s="1047"/>
    </row>
    <row r="106" spans="2:26" ht="15.75">
      <c r="B106" s="832"/>
      <c r="C106" s="832"/>
      <c r="D106" s="832"/>
      <c r="E106" s="833"/>
      <c r="F106" s="1118"/>
      <c r="G106" s="1113"/>
      <c r="H106" s="817"/>
      <c r="I106" s="817"/>
      <c r="K106" s="455"/>
      <c r="L106" s="455"/>
      <c r="M106" s="455"/>
      <c r="N106" s="937"/>
      <c r="O106" s="832"/>
      <c r="P106" s="434"/>
      <c r="Q106" s="938"/>
      <c r="R106" s="1047"/>
      <c r="S106" s="1047"/>
      <c r="T106" s="1047"/>
      <c r="U106" s="1047"/>
      <c r="V106" s="1047"/>
      <c r="W106" s="1047"/>
      <c r="X106" s="1048"/>
      <c r="Y106" s="1047"/>
      <c r="Z106" s="1047"/>
    </row>
    <row r="107" spans="2:26" ht="19.5" customHeight="1">
      <c r="B107" s="1348" t="str">
        <f>+OTCHET!H607</f>
        <v>smadjarova@crc.bg</v>
      </c>
      <c r="C107" s="832"/>
      <c r="D107" s="832"/>
      <c r="E107" s="1119"/>
      <c r="F107" s="419"/>
      <c r="G107" s="1349" t="str">
        <f>+OTCHET!E607</f>
        <v>02/9492713</v>
      </c>
      <c r="H107" s="1349">
        <f>+OTCHET!F607</f>
        <v>0</v>
      </c>
      <c r="I107" s="1350"/>
      <c r="J107" s="1898">
        <f>+OTCHET!B607</f>
        <v>43190</v>
      </c>
      <c r="K107" s="455"/>
      <c r="L107" s="455"/>
      <c r="M107" s="455"/>
      <c r="N107" s="937"/>
      <c r="O107" s="832"/>
      <c r="P107" s="434"/>
      <c r="Q107" s="938"/>
      <c r="R107" s="1047"/>
      <c r="S107" s="1047"/>
      <c r="T107" s="1047"/>
      <c r="U107" s="1047"/>
      <c r="V107" s="1047"/>
      <c r="W107" s="1047"/>
      <c r="X107" s="1048"/>
      <c r="Y107" s="1047"/>
      <c r="Z107" s="1047"/>
    </row>
    <row r="108" spans="2:26" ht="15.75">
      <c r="B108" s="1132" t="s">
        <v>1421</v>
      </c>
      <c r="C108" s="1351"/>
      <c r="D108" s="1351"/>
      <c r="E108" s="1352"/>
      <c r="F108" s="1352"/>
      <c r="G108" s="2109" t="s">
        <v>1420</v>
      </c>
      <c r="H108" s="2109"/>
      <c r="I108" s="1353"/>
      <c r="J108" s="1133" t="s">
        <v>1419</v>
      </c>
      <c r="K108" s="455"/>
      <c r="L108" s="455"/>
      <c r="M108" s="455"/>
      <c r="N108" s="937"/>
      <c r="O108" s="832"/>
      <c r="P108" s="434"/>
      <c r="Q108" s="938"/>
      <c r="R108" s="1047"/>
      <c r="S108" s="1047"/>
      <c r="T108" s="1047"/>
      <c r="U108" s="1047"/>
      <c r="V108" s="1047"/>
      <c r="W108" s="1047"/>
      <c r="X108" s="1048"/>
      <c r="Y108" s="1047"/>
      <c r="Z108" s="1047"/>
    </row>
    <row r="109" spans="2:26" ht="17.25" customHeight="1">
      <c r="B109" s="1116" t="s">
        <v>1680</v>
      </c>
      <c r="C109" s="837"/>
      <c r="D109" s="837"/>
      <c r="E109" s="1888"/>
      <c r="F109" s="1354"/>
      <c r="G109" s="817"/>
      <c r="H109" s="817"/>
      <c r="I109" s="817"/>
      <c r="J109" s="817"/>
      <c r="K109" s="455"/>
      <c r="L109" s="455"/>
      <c r="M109" s="455"/>
      <c r="N109" s="937"/>
      <c r="O109" s="832"/>
      <c r="P109" s="434"/>
      <c r="Q109" s="938"/>
      <c r="R109" s="1047"/>
      <c r="S109" s="1047"/>
      <c r="T109" s="1047"/>
      <c r="U109" s="1047"/>
      <c r="V109" s="1047"/>
      <c r="W109" s="1047"/>
      <c r="X109" s="1048"/>
      <c r="Y109" s="1047"/>
      <c r="Z109" s="1047"/>
    </row>
    <row r="110" spans="2:26" ht="17.25" customHeight="1">
      <c r="B110" s="1350"/>
      <c r="C110" s="834"/>
      <c r="D110" s="832"/>
      <c r="E110" s="2108" t="str">
        <f>+OTCHET!D605</f>
        <v>Соня Маджарова</v>
      </c>
      <c r="F110" s="2108"/>
      <c r="G110" s="817"/>
      <c r="H110" s="817"/>
      <c r="I110" s="817"/>
      <c r="J110" s="817"/>
      <c r="K110" s="455"/>
      <c r="L110" s="455"/>
      <c r="M110" s="455"/>
      <c r="N110" s="937"/>
      <c r="O110" s="832"/>
      <c r="P110" s="434"/>
      <c r="Q110" s="938"/>
      <c r="R110" s="1047"/>
      <c r="S110" s="1047"/>
      <c r="T110" s="1047"/>
      <c r="U110" s="1047"/>
      <c r="V110" s="1047"/>
      <c r="W110" s="1047"/>
      <c r="X110" s="1048"/>
      <c r="Y110" s="1047"/>
      <c r="Z110" s="1047"/>
    </row>
    <row r="111" spans="2:26" ht="19.5" customHeight="1">
      <c r="B111" s="837"/>
      <c r="E111" s="817"/>
      <c r="F111" s="817"/>
      <c r="G111" s="817"/>
      <c r="H111" s="817"/>
      <c r="I111" s="817"/>
      <c r="J111" s="817"/>
      <c r="K111" s="455"/>
      <c r="L111" s="455"/>
      <c r="M111" s="455"/>
      <c r="N111" s="937"/>
      <c r="O111" s="834"/>
      <c r="P111" s="434"/>
      <c r="Q111" s="938"/>
      <c r="R111" s="1047"/>
      <c r="S111" s="1047"/>
      <c r="T111" s="1047"/>
      <c r="U111" s="1047"/>
      <c r="V111" s="1047"/>
      <c r="W111" s="1047"/>
      <c r="X111" s="1048"/>
      <c r="Y111" s="1047"/>
      <c r="Z111" s="1047"/>
    </row>
    <row r="112" spans="5:26" ht="15.75" customHeight="1">
      <c r="E112" s="817"/>
      <c r="F112" s="817"/>
      <c r="G112" s="817"/>
      <c r="H112" s="817"/>
      <c r="I112" s="817"/>
      <c r="J112" s="817"/>
      <c r="K112" s="455"/>
      <c r="L112" s="455"/>
      <c r="M112" s="455"/>
      <c r="N112" s="937"/>
      <c r="O112" s="832"/>
      <c r="P112" s="434"/>
      <c r="Q112" s="938"/>
      <c r="R112" s="1047"/>
      <c r="S112" s="1047"/>
      <c r="T112" s="1047"/>
      <c r="U112" s="1047"/>
      <c r="V112" s="1047"/>
      <c r="W112" s="1047"/>
      <c r="X112" s="1048"/>
      <c r="Y112" s="1047"/>
      <c r="Z112" s="1047"/>
    </row>
    <row r="113" spans="2:26" ht="15.75">
      <c r="B113" s="1117" t="s">
        <v>1643</v>
      </c>
      <c r="C113" s="832"/>
      <c r="D113" s="832"/>
      <c r="E113" s="1354"/>
      <c r="F113" s="1354"/>
      <c r="G113" s="817"/>
      <c r="H113" s="1117" t="s">
        <v>1416</v>
      </c>
      <c r="I113" s="1889"/>
      <c r="J113" s="1355"/>
      <c r="K113" s="455"/>
      <c r="L113" s="455"/>
      <c r="M113" s="455"/>
      <c r="N113" s="937"/>
      <c r="O113" s="836"/>
      <c r="P113" s="434"/>
      <c r="Q113" s="938"/>
      <c r="R113" s="1047"/>
      <c r="S113" s="1047"/>
      <c r="T113" s="1047"/>
      <c r="U113" s="1047"/>
      <c r="V113" s="1047"/>
      <c r="W113" s="1047"/>
      <c r="X113" s="1048"/>
      <c r="Y113" s="1047"/>
      <c r="Z113" s="1047"/>
    </row>
    <row r="114" spans="5:26" ht="18" customHeight="1">
      <c r="E114" s="2108" t="str">
        <f>+OTCHET!G602</f>
        <v>Соня Маджарова</v>
      </c>
      <c r="F114" s="2108"/>
      <c r="G114" s="1356"/>
      <c r="H114" s="817"/>
      <c r="I114" s="2108" t="str">
        <f>+OTCHET!G605</f>
        <v>Росен Желязков</v>
      </c>
      <c r="J114" s="2108"/>
      <c r="K114" s="455"/>
      <c r="L114" s="455"/>
      <c r="M114" s="455"/>
      <c r="N114" s="937"/>
      <c r="O114" s="1357"/>
      <c r="P114" s="434"/>
      <c r="Q114" s="938"/>
      <c r="R114" s="1047"/>
      <c r="S114" s="1047"/>
      <c r="T114" s="1047"/>
      <c r="U114" s="1047"/>
      <c r="V114" s="1047"/>
      <c r="W114" s="1047"/>
      <c r="X114" s="1048"/>
      <c r="Y114" s="1047"/>
      <c r="Z114" s="1047"/>
    </row>
    <row r="115" spans="1:17" ht="12.75">
      <c r="A115" s="1057"/>
      <c r="B115" s="1057"/>
      <c r="C115" s="1057"/>
      <c r="D115" s="1057"/>
      <c r="E115" s="1058"/>
      <c r="F115" s="1058"/>
      <c r="G115" s="1058"/>
      <c r="H115" s="1058"/>
      <c r="I115" s="1058"/>
      <c r="J115" s="1058"/>
      <c r="K115" s="1058"/>
      <c r="L115" s="1058"/>
      <c r="M115" s="1058"/>
      <c r="N115" s="1057"/>
      <c r="O115" s="1057"/>
      <c r="P115" s="1057"/>
      <c r="Q115" s="1057"/>
    </row>
    <row r="116" spans="1:17" ht="12.75">
      <c r="A116" s="1057"/>
      <c r="B116" s="1057"/>
      <c r="C116" s="1057"/>
      <c r="D116" s="1057"/>
      <c r="E116" s="1058"/>
      <c r="F116" s="1058"/>
      <c r="G116" s="1058"/>
      <c r="H116" s="1058"/>
      <c r="I116" s="1058"/>
      <c r="J116" s="1058"/>
      <c r="K116" s="1058"/>
      <c r="L116" s="1058"/>
      <c r="M116" s="1058"/>
      <c r="N116" s="1057"/>
      <c r="O116" s="1057"/>
      <c r="P116" s="1057"/>
      <c r="Q116" s="1057"/>
    </row>
    <row r="117" spans="1:17" ht="12.75">
      <c r="A117" s="1057"/>
      <c r="B117" s="1057"/>
      <c r="C117" s="1057"/>
      <c r="D117" s="1057"/>
      <c r="E117" s="1058"/>
      <c r="F117" s="1058"/>
      <c r="G117" s="1058"/>
      <c r="H117" s="1058"/>
      <c r="I117" s="1058"/>
      <c r="J117" s="1058"/>
      <c r="K117" s="1058"/>
      <c r="L117" s="1058"/>
      <c r="M117" s="1058"/>
      <c r="N117" s="1057"/>
      <c r="O117" s="1057"/>
      <c r="P117" s="1057"/>
      <c r="Q117" s="1057"/>
    </row>
    <row r="118" spans="1:17" ht="12.75">
      <c r="A118" s="1057"/>
      <c r="B118" s="1057"/>
      <c r="C118" s="1057"/>
      <c r="D118" s="1057"/>
      <c r="E118" s="1058"/>
      <c r="F118" s="1058"/>
      <c r="G118" s="1058"/>
      <c r="H118" s="1058"/>
      <c r="I118" s="1058"/>
      <c r="J118" s="1058"/>
      <c r="K118" s="1058"/>
      <c r="L118" s="1058"/>
      <c r="M118" s="1058"/>
      <c r="N118" s="1057"/>
      <c r="O118" s="1057"/>
      <c r="P118" s="1057"/>
      <c r="Q118" s="1057"/>
    </row>
    <row r="119" spans="1:17" ht="12.75">
      <c r="A119" s="1057"/>
      <c r="B119" s="1057"/>
      <c r="C119" s="1057"/>
      <c r="D119" s="1057"/>
      <c r="E119" s="1058"/>
      <c r="F119" s="1058"/>
      <c r="G119" s="1058"/>
      <c r="H119" s="1058"/>
      <c r="I119" s="1058"/>
      <c r="J119" s="1058"/>
      <c r="K119" s="1058"/>
      <c r="L119" s="1058"/>
      <c r="M119" s="1058"/>
      <c r="N119" s="1057"/>
      <c r="O119" s="1057"/>
      <c r="P119" s="1057"/>
      <c r="Q119" s="1057"/>
    </row>
    <row r="120" spans="1:17" ht="12.75">
      <c r="A120" s="1057"/>
      <c r="B120" s="1057"/>
      <c r="C120" s="1057"/>
      <c r="D120" s="1057"/>
      <c r="E120" s="1058"/>
      <c r="F120" s="1058"/>
      <c r="G120" s="1058"/>
      <c r="H120" s="1058"/>
      <c r="I120" s="1058"/>
      <c r="J120" s="1058"/>
      <c r="K120" s="1058"/>
      <c r="L120" s="1058"/>
      <c r="M120" s="1058"/>
      <c r="N120" s="1057"/>
      <c r="O120" s="1057"/>
      <c r="P120" s="1057"/>
      <c r="Q120" s="1057"/>
    </row>
    <row r="121" spans="1:17" ht="12.75">
      <c r="A121" s="1057"/>
      <c r="B121" s="1057"/>
      <c r="C121" s="1057"/>
      <c r="D121" s="1057"/>
      <c r="E121" s="1058"/>
      <c r="F121" s="1058"/>
      <c r="G121" s="1058"/>
      <c r="H121" s="1058"/>
      <c r="I121" s="1058"/>
      <c r="J121" s="1058"/>
      <c r="K121" s="1058"/>
      <c r="L121" s="1058"/>
      <c r="M121" s="1058"/>
      <c r="N121" s="1057"/>
      <c r="O121" s="1057"/>
      <c r="P121" s="1057"/>
      <c r="Q121" s="1057"/>
    </row>
    <row r="122" spans="1:17" ht="12.75">
      <c r="A122" s="1057"/>
      <c r="B122" s="1057"/>
      <c r="C122" s="1057"/>
      <c r="D122" s="1057"/>
      <c r="E122" s="1058"/>
      <c r="F122" s="1058"/>
      <c r="G122" s="1058"/>
      <c r="H122" s="1058"/>
      <c r="I122" s="1058"/>
      <c r="J122" s="1058"/>
      <c r="K122" s="1058"/>
      <c r="L122" s="1058"/>
      <c r="M122" s="1058"/>
      <c r="N122" s="1057"/>
      <c r="O122" s="1057"/>
      <c r="P122" s="1057"/>
      <c r="Q122" s="1057"/>
    </row>
    <row r="123" spans="1:17" ht="12.75">
      <c r="A123" s="1057"/>
      <c r="B123" s="1057"/>
      <c r="C123" s="1057"/>
      <c r="D123" s="1057"/>
      <c r="E123" s="1058"/>
      <c r="F123" s="1058"/>
      <c r="G123" s="1058"/>
      <c r="H123" s="1058"/>
      <c r="I123" s="1058"/>
      <c r="J123" s="1058"/>
      <c r="K123" s="1058"/>
      <c r="L123" s="1058"/>
      <c r="M123" s="1058"/>
      <c r="N123" s="1057"/>
      <c r="O123" s="1057"/>
      <c r="P123" s="1057"/>
      <c r="Q123" s="1057"/>
    </row>
    <row r="124" spans="1:17" ht="12.75">
      <c r="A124" s="1057"/>
      <c r="B124" s="1057"/>
      <c r="C124" s="1057"/>
      <c r="D124" s="1057"/>
      <c r="E124" s="1058"/>
      <c r="F124" s="1058"/>
      <c r="G124" s="1058"/>
      <c r="H124" s="1058"/>
      <c r="I124" s="1058"/>
      <c r="J124" s="1058"/>
      <c r="K124" s="1058"/>
      <c r="L124" s="1058"/>
      <c r="M124" s="1058"/>
      <c r="N124" s="1057"/>
      <c r="O124" s="1057"/>
      <c r="P124" s="1057"/>
      <c r="Q124" s="1057"/>
    </row>
    <row r="125" spans="1:17" ht="12.75">
      <c r="A125" s="1057"/>
      <c r="B125" s="1057"/>
      <c r="C125" s="1057"/>
      <c r="D125" s="1057"/>
      <c r="E125" s="1058"/>
      <c r="F125" s="1058"/>
      <c r="G125" s="1058"/>
      <c r="H125" s="1058"/>
      <c r="I125" s="1058"/>
      <c r="J125" s="1058"/>
      <c r="K125" s="1058"/>
      <c r="L125" s="1058"/>
      <c r="M125" s="1058"/>
      <c r="N125" s="1057"/>
      <c r="O125" s="1057"/>
      <c r="P125" s="1057"/>
      <c r="Q125" s="1057"/>
    </row>
    <row r="126" spans="1:17" ht="12.75">
      <c r="A126" s="1057"/>
      <c r="B126" s="1057"/>
      <c r="C126" s="1057"/>
      <c r="D126" s="1057"/>
      <c r="E126" s="1058"/>
      <c r="F126" s="1058"/>
      <c r="G126" s="1058"/>
      <c r="H126" s="1058"/>
      <c r="I126" s="1058"/>
      <c r="J126" s="1058"/>
      <c r="K126" s="1058"/>
      <c r="L126" s="1058"/>
      <c r="M126" s="1058"/>
      <c r="N126" s="1057"/>
      <c r="O126" s="1057"/>
      <c r="P126" s="1057"/>
      <c r="Q126" s="1057"/>
    </row>
    <row r="127" spans="1:17" ht="12.75">
      <c r="A127" s="1057"/>
      <c r="B127" s="1057"/>
      <c r="C127" s="1057"/>
      <c r="D127" s="1057"/>
      <c r="E127" s="1058"/>
      <c r="F127" s="1058"/>
      <c r="G127" s="1058"/>
      <c r="H127" s="1058"/>
      <c r="I127" s="1058"/>
      <c r="J127" s="1058"/>
      <c r="K127" s="1058"/>
      <c r="L127" s="1058"/>
      <c r="M127" s="1058"/>
      <c r="N127" s="1057"/>
      <c r="O127" s="1057"/>
      <c r="P127" s="1057"/>
      <c r="Q127" s="1057"/>
    </row>
    <row r="128" spans="1:17" ht="12.75">
      <c r="A128" s="1057"/>
      <c r="B128" s="1057"/>
      <c r="C128" s="1057"/>
      <c r="D128" s="1057"/>
      <c r="E128" s="1058"/>
      <c r="F128" s="1058"/>
      <c r="G128" s="1058"/>
      <c r="H128" s="1058"/>
      <c r="I128" s="1058"/>
      <c r="J128" s="1058"/>
      <c r="K128" s="1058"/>
      <c r="L128" s="1058"/>
      <c r="M128" s="1058"/>
      <c r="N128" s="1057"/>
      <c r="O128" s="1057"/>
      <c r="P128" s="1057"/>
      <c r="Q128" s="1057"/>
    </row>
    <row r="129" spans="1:17" ht="12.75">
      <c r="A129" s="1057"/>
      <c r="B129" s="1057"/>
      <c r="C129" s="1057"/>
      <c r="D129" s="1057"/>
      <c r="E129" s="1058"/>
      <c r="F129" s="1058"/>
      <c r="G129" s="1058"/>
      <c r="H129" s="1058"/>
      <c r="I129" s="1058"/>
      <c r="J129" s="1058"/>
      <c r="K129" s="1058"/>
      <c r="L129" s="1058"/>
      <c r="M129" s="1058"/>
      <c r="N129" s="1057"/>
      <c r="O129" s="1057"/>
      <c r="P129" s="1057"/>
      <c r="Q129" s="1057"/>
    </row>
    <row r="130" spans="1:17" ht="12.75">
      <c r="A130" s="1057"/>
      <c r="B130" s="1057"/>
      <c r="C130" s="1057"/>
      <c r="D130" s="1057"/>
      <c r="E130" s="1058"/>
      <c r="F130" s="1058"/>
      <c r="G130" s="1058"/>
      <c r="H130" s="1058"/>
      <c r="I130" s="1058"/>
      <c r="J130" s="1058"/>
      <c r="K130" s="1058"/>
      <c r="L130" s="1058"/>
      <c r="M130" s="1058"/>
      <c r="N130" s="1057"/>
      <c r="O130" s="1057"/>
      <c r="P130" s="1057"/>
      <c r="Q130" s="1057"/>
    </row>
    <row r="131" spans="1:17" ht="12.75">
      <c r="A131" s="1057"/>
      <c r="B131" s="1057"/>
      <c r="C131" s="1057"/>
      <c r="D131" s="1057"/>
      <c r="E131" s="1058"/>
      <c r="F131" s="1058"/>
      <c r="G131" s="1058"/>
      <c r="H131" s="1058"/>
      <c r="I131" s="1058"/>
      <c r="J131" s="1058"/>
      <c r="K131" s="1058"/>
      <c r="L131" s="1058"/>
      <c r="M131" s="1058"/>
      <c r="N131" s="1057"/>
      <c r="O131" s="1057"/>
      <c r="P131" s="1057"/>
      <c r="Q131" s="1057"/>
    </row>
    <row r="132" spans="1:17" ht="12.75">
      <c r="A132" s="1057"/>
      <c r="B132" s="1057"/>
      <c r="C132" s="1057"/>
      <c r="D132" s="1057"/>
      <c r="E132" s="1058"/>
      <c r="F132" s="1058"/>
      <c r="G132" s="1058"/>
      <c r="H132" s="1058"/>
      <c r="I132" s="1058"/>
      <c r="J132" s="1058"/>
      <c r="K132" s="1058"/>
      <c r="L132" s="1058"/>
      <c r="M132" s="1058"/>
      <c r="N132" s="1057"/>
      <c r="O132" s="1057"/>
      <c r="P132" s="1057"/>
      <c r="Q132" s="1057"/>
    </row>
    <row r="133" spans="1:17" ht="12.75">
      <c r="A133" s="1057"/>
      <c r="B133" s="1057"/>
      <c r="C133" s="1057"/>
      <c r="D133" s="1057"/>
      <c r="E133" s="1058"/>
      <c r="F133" s="1058"/>
      <c r="G133" s="1058"/>
      <c r="H133" s="1058"/>
      <c r="I133" s="1058"/>
      <c r="J133" s="1058"/>
      <c r="K133" s="1058"/>
      <c r="L133" s="1058"/>
      <c r="M133" s="1058"/>
      <c r="N133" s="1057"/>
      <c r="O133" s="1057"/>
      <c r="P133" s="1057"/>
      <c r="Q133" s="1057"/>
    </row>
    <row r="134" spans="1:17" ht="12.75">
      <c r="A134" s="1057"/>
      <c r="B134" s="1057"/>
      <c r="C134" s="1057"/>
      <c r="D134" s="1057"/>
      <c r="E134" s="1058"/>
      <c r="F134" s="1058"/>
      <c r="G134" s="1058"/>
      <c r="H134" s="1058"/>
      <c r="I134" s="1058"/>
      <c r="J134" s="1058"/>
      <c r="K134" s="1058"/>
      <c r="L134" s="1058"/>
      <c r="M134" s="1058"/>
      <c r="N134" s="1057"/>
      <c r="O134" s="1057"/>
      <c r="P134" s="1057"/>
      <c r="Q134" s="1057"/>
    </row>
    <row r="135" spans="1:17" ht="12.75">
      <c r="A135" s="1057"/>
      <c r="B135" s="1057"/>
      <c r="C135" s="1057"/>
      <c r="D135" s="1057"/>
      <c r="E135" s="1058"/>
      <c r="F135" s="1058"/>
      <c r="G135" s="1058"/>
      <c r="H135" s="1058"/>
      <c r="I135" s="1058"/>
      <c r="J135" s="1058"/>
      <c r="K135" s="1058"/>
      <c r="L135" s="1058"/>
      <c r="M135" s="1058"/>
      <c r="N135" s="1057"/>
      <c r="O135" s="1057"/>
      <c r="P135" s="1057"/>
      <c r="Q135" s="1057"/>
    </row>
    <row r="136" spans="1:17" ht="12.75">
      <c r="A136" s="1057"/>
      <c r="B136" s="1057"/>
      <c r="C136" s="1057"/>
      <c r="D136" s="1057"/>
      <c r="E136" s="1058"/>
      <c r="F136" s="1058"/>
      <c r="G136" s="1058"/>
      <c r="H136" s="1058"/>
      <c r="I136" s="1058"/>
      <c r="J136" s="1058"/>
      <c r="K136" s="1058"/>
      <c r="L136" s="1058"/>
      <c r="M136" s="1058"/>
      <c r="N136" s="1057"/>
      <c r="O136" s="1057"/>
      <c r="P136" s="1057"/>
      <c r="Q136" s="1057"/>
    </row>
    <row r="137" spans="1:17" ht="12.75">
      <c r="A137" s="1057"/>
      <c r="B137" s="1057"/>
      <c r="C137" s="1057"/>
      <c r="D137" s="1057"/>
      <c r="E137" s="1058"/>
      <c r="F137" s="1058"/>
      <c r="G137" s="1058"/>
      <c r="H137" s="1058"/>
      <c r="I137" s="1058"/>
      <c r="J137" s="1058"/>
      <c r="K137" s="1058"/>
      <c r="L137" s="1058"/>
      <c r="M137" s="1058"/>
      <c r="N137" s="1057"/>
      <c r="O137" s="1057"/>
      <c r="P137" s="1057"/>
      <c r="Q137" s="1057"/>
    </row>
    <row r="138" spans="1:17" ht="12.75">
      <c r="A138" s="1057"/>
      <c r="B138" s="1057"/>
      <c r="C138" s="1057"/>
      <c r="D138" s="1057"/>
      <c r="E138" s="1058"/>
      <c r="F138" s="1058"/>
      <c r="G138" s="1058"/>
      <c r="H138" s="1058"/>
      <c r="I138" s="1058"/>
      <c r="J138" s="1058"/>
      <c r="K138" s="1058"/>
      <c r="L138" s="1058"/>
      <c r="M138" s="1058"/>
      <c r="N138" s="1057"/>
      <c r="O138" s="1057"/>
      <c r="P138" s="1057"/>
      <c r="Q138" s="1057"/>
    </row>
    <row r="139" spans="1:17" ht="12.75">
      <c r="A139" s="1057"/>
      <c r="B139" s="1057"/>
      <c r="C139" s="1057"/>
      <c r="D139" s="1057"/>
      <c r="E139" s="1058"/>
      <c r="F139" s="1058"/>
      <c r="G139" s="1058"/>
      <c r="H139" s="1058"/>
      <c r="I139" s="1058"/>
      <c r="J139" s="1058"/>
      <c r="K139" s="1058"/>
      <c r="L139" s="1058"/>
      <c r="M139" s="1058"/>
      <c r="N139" s="1057"/>
      <c r="O139" s="1057"/>
      <c r="P139" s="1057"/>
      <c r="Q139" s="1057"/>
    </row>
    <row r="140" spans="1:17" ht="12.75">
      <c r="A140" s="1057"/>
      <c r="B140" s="1057"/>
      <c r="C140" s="1057"/>
      <c r="D140" s="1057"/>
      <c r="E140" s="1058"/>
      <c r="F140" s="1058"/>
      <c r="G140" s="1058"/>
      <c r="H140" s="1058"/>
      <c r="I140" s="1058"/>
      <c r="J140" s="1058"/>
      <c r="K140" s="1058"/>
      <c r="L140" s="1058"/>
      <c r="M140" s="1058"/>
      <c r="N140" s="1057"/>
      <c r="O140" s="1057"/>
      <c r="P140" s="1057"/>
      <c r="Q140" s="1057"/>
    </row>
    <row r="141" spans="1:17" ht="12.75">
      <c r="A141" s="1057"/>
      <c r="B141" s="1057"/>
      <c r="C141" s="1057"/>
      <c r="D141" s="1057"/>
      <c r="E141" s="1058"/>
      <c r="F141" s="1058"/>
      <c r="G141" s="1058"/>
      <c r="H141" s="1058"/>
      <c r="I141" s="1058"/>
      <c r="J141" s="1058"/>
      <c r="K141" s="1058"/>
      <c r="L141" s="1058"/>
      <c r="M141" s="1058"/>
      <c r="N141" s="1057"/>
      <c r="O141" s="1057"/>
      <c r="P141" s="1057"/>
      <c r="Q141" s="1057"/>
    </row>
    <row r="142" spans="1:17" ht="12.75">
      <c r="A142" s="1057"/>
      <c r="B142" s="1057"/>
      <c r="C142" s="1057"/>
      <c r="D142" s="1057"/>
      <c r="E142" s="1058"/>
      <c r="F142" s="1058"/>
      <c r="G142" s="1058"/>
      <c r="H142" s="1058"/>
      <c r="I142" s="1058"/>
      <c r="J142" s="1058"/>
      <c r="K142" s="1058"/>
      <c r="L142" s="1058"/>
      <c r="M142" s="1058"/>
      <c r="N142" s="1057"/>
      <c r="O142" s="1057"/>
      <c r="P142" s="1057"/>
      <c r="Q142" s="1057"/>
    </row>
    <row r="143" spans="1:17" ht="12.75">
      <c r="A143" s="1057"/>
      <c r="B143" s="1057"/>
      <c r="C143" s="1057"/>
      <c r="D143" s="1057"/>
      <c r="E143" s="1058"/>
      <c r="F143" s="1058"/>
      <c r="G143" s="1058"/>
      <c r="H143" s="1058"/>
      <c r="I143" s="1058"/>
      <c r="J143" s="1058"/>
      <c r="K143" s="1058"/>
      <c r="L143" s="1058"/>
      <c r="M143" s="1058"/>
      <c r="N143" s="1057"/>
      <c r="O143" s="1057"/>
      <c r="P143" s="1057"/>
      <c r="Q143" s="1057"/>
    </row>
    <row r="144" spans="1:17" ht="12.75">
      <c r="A144" s="1057"/>
      <c r="B144" s="1057"/>
      <c r="C144" s="1057"/>
      <c r="D144" s="1057"/>
      <c r="E144" s="1058"/>
      <c r="F144" s="1058"/>
      <c r="G144" s="1058"/>
      <c r="H144" s="1058"/>
      <c r="I144" s="1058"/>
      <c r="J144" s="1058"/>
      <c r="K144" s="1058"/>
      <c r="L144" s="1058"/>
      <c r="M144" s="1058"/>
      <c r="N144" s="1057"/>
      <c r="O144" s="1057"/>
      <c r="P144" s="1057"/>
      <c r="Q144" s="1057"/>
    </row>
    <row r="145" spans="1:17" ht="12.75">
      <c r="A145" s="1057"/>
      <c r="B145" s="1057"/>
      <c r="C145" s="1057"/>
      <c r="D145" s="1057"/>
      <c r="E145" s="1058"/>
      <c r="F145" s="1058"/>
      <c r="G145" s="1058"/>
      <c r="H145" s="1058"/>
      <c r="I145" s="1058"/>
      <c r="J145" s="1058"/>
      <c r="K145" s="1058"/>
      <c r="L145" s="1058"/>
      <c r="M145" s="1058"/>
      <c r="N145" s="1057"/>
      <c r="O145" s="1057"/>
      <c r="P145" s="1057"/>
      <c r="Q145" s="1057"/>
    </row>
    <row r="146" spans="1:17" ht="12.75">
      <c r="A146" s="1057"/>
      <c r="B146" s="1057"/>
      <c r="C146" s="1057"/>
      <c r="D146" s="1057"/>
      <c r="E146" s="1058"/>
      <c r="F146" s="1058"/>
      <c r="G146" s="1058"/>
      <c r="H146" s="1058"/>
      <c r="I146" s="1058"/>
      <c r="J146" s="1058"/>
      <c r="K146" s="1058"/>
      <c r="L146" s="1058"/>
      <c r="M146" s="1058"/>
      <c r="N146" s="1057"/>
      <c r="O146" s="1057"/>
      <c r="P146" s="1057"/>
      <c r="Q146" s="1057"/>
    </row>
    <row r="147" spans="1:17" ht="12.75">
      <c r="A147" s="1057"/>
      <c r="B147" s="1057"/>
      <c r="C147" s="1057"/>
      <c r="D147" s="1057"/>
      <c r="E147" s="1058"/>
      <c r="F147" s="1058"/>
      <c r="G147" s="1058"/>
      <c r="H147" s="1058"/>
      <c r="I147" s="1058"/>
      <c r="J147" s="1058"/>
      <c r="K147" s="1058"/>
      <c r="L147" s="1058"/>
      <c r="M147" s="1058"/>
      <c r="N147" s="1057"/>
      <c r="O147" s="1057"/>
      <c r="P147" s="1057"/>
      <c r="Q147" s="1057"/>
    </row>
    <row r="148" spans="1:17" ht="12.75">
      <c r="A148" s="1057"/>
      <c r="B148" s="1057"/>
      <c r="C148" s="1057"/>
      <c r="D148" s="1057"/>
      <c r="E148" s="1058"/>
      <c r="F148" s="1058"/>
      <c r="G148" s="1058"/>
      <c r="H148" s="1058"/>
      <c r="I148" s="1058"/>
      <c r="J148" s="1058"/>
      <c r="K148" s="1058"/>
      <c r="L148" s="1058"/>
      <c r="M148" s="1058"/>
      <c r="N148" s="1057"/>
      <c r="O148" s="1057"/>
      <c r="P148" s="1057"/>
      <c r="Q148" s="1057"/>
    </row>
    <row r="149" spans="1:17" ht="12.75">
      <c r="A149" s="1057"/>
      <c r="B149" s="1057"/>
      <c r="C149" s="1057"/>
      <c r="D149" s="1057"/>
      <c r="E149" s="1058"/>
      <c r="F149" s="1058"/>
      <c r="G149" s="1058"/>
      <c r="H149" s="1058"/>
      <c r="I149" s="1058"/>
      <c r="J149" s="1058"/>
      <c r="K149" s="1058"/>
      <c r="L149" s="1058"/>
      <c r="M149" s="1058"/>
      <c r="N149" s="1057"/>
      <c r="O149" s="1057"/>
      <c r="P149" s="1057"/>
      <c r="Q149" s="1057"/>
    </row>
    <row r="150" spans="1:17" ht="12.75">
      <c r="A150" s="1057"/>
      <c r="B150" s="1057"/>
      <c r="C150" s="1057"/>
      <c r="D150" s="1057"/>
      <c r="E150" s="1058"/>
      <c r="F150" s="1058"/>
      <c r="G150" s="1058"/>
      <c r="H150" s="1058"/>
      <c r="I150" s="1058"/>
      <c r="J150" s="1058"/>
      <c r="K150" s="1058"/>
      <c r="L150" s="1058"/>
      <c r="M150" s="1058"/>
      <c r="N150" s="1057"/>
      <c r="O150" s="1057"/>
      <c r="P150" s="1057"/>
      <c r="Q150" s="1057"/>
    </row>
    <row r="151" spans="1:17" ht="12.75">
      <c r="A151" s="1057"/>
      <c r="B151" s="1057"/>
      <c r="C151" s="1057"/>
      <c r="D151" s="1057"/>
      <c r="E151" s="1058"/>
      <c r="F151" s="1058"/>
      <c r="G151" s="1058"/>
      <c r="H151" s="1058"/>
      <c r="I151" s="1058"/>
      <c r="J151" s="1058"/>
      <c r="K151" s="1058"/>
      <c r="L151" s="1058"/>
      <c r="M151" s="1058"/>
      <c r="N151" s="1057"/>
      <c r="O151" s="1057"/>
      <c r="P151" s="1057"/>
      <c r="Q151" s="1057"/>
    </row>
    <row r="152" spans="1:17" ht="12.75">
      <c r="A152" s="1057"/>
      <c r="B152" s="1057"/>
      <c r="C152" s="1057"/>
      <c r="D152" s="1057"/>
      <c r="E152" s="1058"/>
      <c r="F152" s="1058"/>
      <c r="G152" s="1058"/>
      <c r="H152" s="1058"/>
      <c r="I152" s="1058"/>
      <c r="J152" s="1058"/>
      <c r="K152" s="1058"/>
      <c r="L152" s="1058"/>
      <c r="M152" s="1058"/>
      <c r="N152" s="1057"/>
      <c r="O152" s="1057"/>
      <c r="P152" s="1057"/>
      <c r="Q152" s="1057"/>
    </row>
    <row r="153" spans="1:17" ht="12.75">
      <c r="A153" s="1057"/>
      <c r="B153" s="1057"/>
      <c r="C153" s="1057"/>
      <c r="D153" s="1057"/>
      <c r="E153" s="1058"/>
      <c r="F153" s="1058"/>
      <c r="G153" s="1058"/>
      <c r="H153" s="1058"/>
      <c r="I153" s="1058"/>
      <c r="J153" s="1058"/>
      <c r="K153" s="1058"/>
      <c r="L153" s="1058"/>
      <c r="M153" s="1058"/>
      <c r="N153" s="1057"/>
      <c r="O153" s="1057"/>
      <c r="P153" s="1057"/>
      <c r="Q153" s="1057"/>
    </row>
    <row r="154" spans="1:17" ht="12.75">
      <c r="A154" s="1057"/>
      <c r="B154" s="1057"/>
      <c r="C154" s="1057"/>
      <c r="D154" s="1057"/>
      <c r="E154" s="1058"/>
      <c r="F154" s="1058"/>
      <c r="G154" s="1058"/>
      <c r="H154" s="1058"/>
      <c r="I154" s="1058"/>
      <c r="J154" s="1058"/>
      <c r="K154" s="1058"/>
      <c r="L154" s="1058"/>
      <c r="M154" s="1058"/>
      <c r="N154" s="1057"/>
      <c r="O154" s="1057"/>
      <c r="P154" s="1057"/>
      <c r="Q154" s="1057"/>
    </row>
    <row r="155" spans="1:17" ht="12.75">
      <c r="A155" s="1057"/>
      <c r="B155" s="1057"/>
      <c r="C155" s="1057"/>
      <c r="D155" s="1057"/>
      <c r="E155" s="1058"/>
      <c r="F155" s="1058"/>
      <c r="G155" s="1058"/>
      <c r="H155" s="1058"/>
      <c r="I155" s="1058"/>
      <c r="J155" s="1058"/>
      <c r="K155" s="1058"/>
      <c r="L155" s="1058"/>
      <c r="M155" s="1058"/>
      <c r="N155" s="1057"/>
      <c r="O155" s="1057"/>
      <c r="P155" s="1057"/>
      <c r="Q155" s="1057"/>
    </row>
    <row r="156" spans="1:17" ht="12.75">
      <c r="A156" s="1057"/>
      <c r="B156" s="1057"/>
      <c r="C156" s="1057"/>
      <c r="D156" s="1057"/>
      <c r="E156" s="1058"/>
      <c r="F156" s="1058"/>
      <c r="G156" s="1058"/>
      <c r="H156" s="1058"/>
      <c r="I156" s="1058"/>
      <c r="J156" s="1058"/>
      <c r="K156" s="1058"/>
      <c r="L156" s="1058"/>
      <c r="M156" s="1058"/>
      <c r="N156" s="1057"/>
      <c r="O156" s="1057"/>
      <c r="P156" s="1057"/>
      <c r="Q156" s="1057"/>
    </row>
    <row r="157" spans="1:17" ht="12.75">
      <c r="A157" s="1057"/>
      <c r="B157" s="1057"/>
      <c r="C157" s="1057"/>
      <c r="D157" s="1057"/>
      <c r="E157" s="1058"/>
      <c r="F157" s="1058"/>
      <c r="G157" s="1058"/>
      <c r="H157" s="1058"/>
      <c r="I157" s="1058"/>
      <c r="J157" s="1058"/>
      <c r="K157" s="1058"/>
      <c r="L157" s="1058"/>
      <c r="M157" s="1058"/>
      <c r="N157" s="1057"/>
      <c r="O157" s="1057"/>
      <c r="P157" s="1057"/>
      <c r="Q157" s="1057"/>
    </row>
    <row r="158" spans="1:17" ht="12.75">
      <c r="A158" s="1057"/>
      <c r="B158" s="1057"/>
      <c r="C158" s="1057"/>
      <c r="D158" s="1057"/>
      <c r="E158" s="1058"/>
      <c r="F158" s="1058"/>
      <c r="G158" s="1058"/>
      <c r="H158" s="1058"/>
      <c r="I158" s="1058"/>
      <c r="J158" s="1058"/>
      <c r="K158" s="1058"/>
      <c r="L158" s="1058"/>
      <c r="M158" s="1058"/>
      <c r="N158" s="1057"/>
      <c r="O158" s="1057"/>
      <c r="P158" s="1057"/>
      <c r="Q158" s="1057"/>
    </row>
    <row r="159" spans="1:17" ht="12.75">
      <c r="A159" s="1057"/>
      <c r="B159" s="1057"/>
      <c r="C159" s="1057"/>
      <c r="D159" s="1057"/>
      <c r="E159" s="1058"/>
      <c r="F159" s="1058"/>
      <c r="G159" s="1058"/>
      <c r="H159" s="1058"/>
      <c r="I159" s="1058"/>
      <c r="J159" s="1058"/>
      <c r="K159" s="1058"/>
      <c r="L159" s="1058"/>
      <c r="M159" s="1058"/>
      <c r="N159" s="1057"/>
      <c r="O159" s="1057"/>
      <c r="P159" s="1057"/>
      <c r="Q159" s="1057"/>
    </row>
    <row r="160" spans="1:17" ht="12.75">
      <c r="A160" s="1057"/>
      <c r="B160" s="1057"/>
      <c r="C160" s="1057"/>
      <c r="D160" s="1057"/>
      <c r="E160" s="1058"/>
      <c r="F160" s="1058"/>
      <c r="G160" s="1058"/>
      <c r="H160" s="1058"/>
      <c r="I160" s="1058"/>
      <c r="J160" s="1058"/>
      <c r="K160" s="1058"/>
      <c r="L160" s="1058"/>
      <c r="M160" s="1058"/>
      <c r="N160" s="1057"/>
      <c r="O160" s="1057"/>
      <c r="P160" s="1057"/>
      <c r="Q160" s="1057"/>
    </row>
    <row r="161" spans="1:17" ht="12.75">
      <c r="A161" s="1057"/>
      <c r="B161" s="1057"/>
      <c r="C161" s="1057"/>
      <c r="D161" s="1057"/>
      <c r="E161" s="1058"/>
      <c r="F161" s="1058"/>
      <c r="G161" s="1058"/>
      <c r="H161" s="1058"/>
      <c r="I161" s="1058"/>
      <c r="J161" s="1058"/>
      <c r="K161" s="1058"/>
      <c r="L161" s="1058"/>
      <c r="M161" s="1058"/>
      <c r="N161" s="1057"/>
      <c r="O161" s="1057"/>
      <c r="P161" s="1057"/>
      <c r="Q161" s="1057"/>
    </row>
    <row r="162" spans="1:17" ht="12.75">
      <c r="A162" s="1057"/>
      <c r="B162" s="1057"/>
      <c r="C162" s="1057"/>
      <c r="D162" s="1057"/>
      <c r="E162" s="1058"/>
      <c r="F162" s="1058"/>
      <c r="G162" s="1058"/>
      <c r="H162" s="1058"/>
      <c r="I162" s="1058"/>
      <c r="J162" s="1058"/>
      <c r="K162" s="1058"/>
      <c r="L162" s="1058"/>
      <c r="M162" s="1058"/>
      <c r="N162" s="1057"/>
      <c r="O162" s="1057"/>
      <c r="P162" s="1057"/>
      <c r="Q162" s="1057"/>
    </row>
    <row r="163" spans="1:17" ht="12.75">
      <c r="A163" s="1057"/>
      <c r="B163" s="1057"/>
      <c r="C163" s="1057"/>
      <c r="D163" s="1057"/>
      <c r="E163" s="1058"/>
      <c r="F163" s="1058"/>
      <c r="G163" s="1058"/>
      <c r="H163" s="1058"/>
      <c r="I163" s="1058"/>
      <c r="J163" s="1058"/>
      <c r="K163" s="1058"/>
      <c r="L163" s="1058"/>
      <c r="M163" s="1058"/>
      <c r="N163" s="1057"/>
      <c r="O163" s="1057"/>
      <c r="P163" s="1057"/>
      <c r="Q163" s="1057"/>
    </row>
    <row r="164" spans="1:17" ht="12.75">
      <c r="A164" s="1057"/>
      <c r="B164" s="1057"/>
      <c r="C164" s="1057"/>
      <c r="D164" s="1057"/>
      <c r="E164" s="1058"/>
      <c r="F164" s="1058"/>
      <c r="G164" s="1058"/>
      <c r="H164" s="1058"/>
      <c r="I164" s="1058"/>
      <c r="J164" s="1058"/>
      <c r="K164" s="1058"/>
      <c r="L164" s="1058"/>
      <c r="M164" s="1058"/>
      <c r="N164" s="1057"/>
      <c r="O164" s="1057"/>
      <c r="P164" s="1057"/>
      <c r="Q164" s="1057"/>
    </row>
    <row r="165" spans="1:17" ht="12.75">
      <c r="A165" s="1057"/>
      <c r="B165" s="1057"/>
      <c r="C165" s="1057"/>
      <c r="D165" s="1057"/>
      <c r="E165" s="1058"/>
      <c r="F165" s="1058"/>
      <c r="G165" s="1058"/>
      <c r="H165" s="1058"/>
      <c r="I165" s="1058"/>
      <c r="J165" s="1058"/>
      <c r="K165" s="1058"/>
      <c r="L165" s="1058"/>
      <c r="M165" s="1058"/>
      <c r="N165" s="1057"/>
      <c r="O165" s="1057"/>
      <c r="P165" s="1057"/>
      <c r="Q165" s="1057"/>
    </row>
    <row r="166" spans="1:17" ht="12.75">
      <c r="A166" s="1057"/>
      <c r="B166" s="1057"/>
      <c r="C166" s="1057"/>
      <c r="D166" s="1057"/>
      <c r="E166" s="1058"/>
      <c r="F166" s="1058"/>
      <c r="G166" s="1058"/>
      <c r="H166" s="1058"/>
      <c r="I166" s="1058"/>
      <c r="J166" s="1058"/>
      <c r="K166" s="1058"/>
      <c r="L166" s="1058"/>
      <c r="M166" s="1058"/>
      <c r="N166" s="1057"/>
      <c r="O166" s="1057"/>
      <c r="P166" s="1057"/>
      <c r="Q166" s="1057"/>
    </row>
    <row r="167" spans="1:17" ht="12.75">
      <c r="A167" s="1057"/>
      <c r="B167" s="1057"/>
      <c r="C167" s="1057"/>
      <c r="D167" s="1057"/>
      <c r="E167" s="1058"/>
      <c r="F167" s="1058"/>
      <c r="G167" s="1058"/>
      <c r="H167" s="1058"/>
      <c r="I167" s="1058"/>
      <c r="J167" s="1058"/>
      <c r="K167" s="1058"/>
      <c r="L167" s="1058"/>
      <c r="M167" s="1058"/>
      <c r="N167" s="1057"/>
      <c r="O167" s="1057"/>
      <c r="P167" s="1057"/>
      <c r="Q167" s="1057"/>
    </row>
    <row r="168" spans="1:17" ht="12.75">
      <c r="A168" s="1057"/>
      <c r="B168" s="1057"/>
      <c r="C168" s="1057"/>
      <c r="D168" s="1057"/>
      <c r="E168" s="1058"/>
      <c r="F168" s="1058"/>
      <c r="G168" s="1058"/>
      <c r="H168" s="1058"/>
      <c r="I168" s="1058"/>
      <c r="J168" s="1058"/>
      <c r="K168" s="1058"/>
      <c r="L168" s="1058"/>
      <c r="M168" s="1058"/>
      <c r="N168" s="1057"/>
      <c r="O168" s="1057"/>
      <c r="P168" s="1057"/>
      <c r="Q168" s="1057"/>
    </row>
    <row r="169" spans="1:17" ht="12.75">
      <c r="A169" s="1057"/>
      <c r="B169" s="1057"/>
      <c r="C169" s="1057"/>
      <c r="D169" s="1057"/>
      <c r="E169" s="1058"/>
      <c r="F169" s="1058"/>
      <c r="G169" s="1058"/>
      <c r="H169" s="1058"/>
      <c r="I169" s="1058"/>
      <c r="J169" s="1058"/>
      <c r="K169" s="1058"/>
      <c r="L169" s="1058"/>
      <c r="M169" s="1058"/>
      <c r="N169" s="1057"/>
      <c r="O169" s="1057"/>
      <c r="P169" s="1057"/>
      <c r="Q169" s="1057"/>
    </row>
    <row r="170" spans="1:17" ht="12.75">
      <c r="A170" s="1057"/>
      <c r="B170" s="1057"/>
      <c r="C170" s="1057"/>
      <c r="D170" s="1057"/>
      <c r="E170" s="1058"/>
      <c r="F170" s="1058"/>
      <c r="G170" s="1058"/>
      <c r="H170" s="1058"/>
      <c r="I170" s="1058"/>
      <c r="J170" s="1058"/>
      <c r="K170" s="1058"/>
      <c r="L170" s="1058"/>
      <c r="M170" s="1058"/>
      <c r="N170" s="1057"/>
      <c r="O170" s="1057"/>
      <c r="P170" s="1057"/>
      <c r="Q170" s="1057"/>
    </row>
    <row r="171" spans="1:17" ht="12.75">
      <c r="A171" s="1057"/>
      <c r="B171" s="1057"/>
      <c r="C171" s="1057"/>
      <c r="D171" s="1057"/>
      <c r="E171" s="1058"/>
      <c r="F171" s="1058"/>
      <c r="G171" s="1058"/>
      <c r="H171" s="1058"/>
      <c r="I171" s="1058"/>
      <c r="J171" s="1058"/>
      <c r="K171" s="1058"/>
      <c r="L171" s="1058"/>
      <c r="M171" s="1058"/>
      <c r="N171" s="1057"/>
      <c r="O171" s="1057"/>
      <c r="P171" s="1057"/>
      <c r="Q171" s="1057"/>
    </row>
    <row r="172" spans="1:17" ht="12.75">
      <c r="A172" s="1057"/>
      <c r="B172" s="1057"/>
      <c r="C172" s="1057"/>
      <c r="D172" s="1057"/>
      <c r="E172" s="1058"/>
      <c r="F172" s="1058"/>
      <c r="G172" s="1058"/>
      <c r="H172" s="1058"/>
      <c r="I172" s="1058"/>
      <c r="J172" s="1058"/>
      <c r="K172" s="1058"/>
      <c r="L172" s="1058"/>
      <c r="M172" s="1058"/>
      <c r="N172" s="1057"/>
      <c r="O172" s="1057"/>
      <c r="P172" s="1057"/>
      <c r="Q172" s="1057"/>
    </row>
    <row r="173" spans="1:17" ht="12.75">
      <c r="A173" s="1057"/>
      <c r="B173" s="1057"/>
      <c r="C173" s="1057"/>
      <c r="D173" s="1057"/>
      <c r="E173" s="1058"/>
      <c r="F173" s="1058"/>
      <c r="G173" s="1058"/>
      <c r="H173" s="1058"/>
      <c r="I173" s="1058"/>
      <c r="J173" s="1058"/>
      <c r="K173" s="1058"/>
      <c r="L173" s="1058"/>
      <c r="M173" s="1058"/>
      <c r="N173" s="1057"/>
      <c r="O173" s="1057"/>
      <c r="P173" s="1057"/>
      <c r="Q173" s="1057"/>
    </row>
    <row r="174" spans="1:17" ht="12.75">
      <c r="A174" s="1057"/>
      <c r="B174" s="1057"/>
      <c r="C174" s="1057"/>
      <c r="D174" s="1057"/>
      <c r="E174" s="1058"/>
      <c r="F174" s="1058"/>
      <c r="G174" s="1058"/>
      <c r="H174" s="1058"/>
      <c r="I174" s="1058"/>
      <c r="J174" s="1058"/>
      <c r="K174" s="1058"/>
      <c r="L174" s="1058"/>
      <c r="M174" s="1058"/>
      <c r="N174" s="1057"/>
      <c r="O174" s="1057"/>
      <c r="P174" s="1057"/>
      <c r="Q174" s="1057"/>
    </row>
    <row r="175" spans="1:17" ht="12.75">
      <c r="A175" s="1057"/>
      <c r="B175" s="1057"/>
      <c r="C175" s="1057"/>
      <c r="D175" s="1057"/>
      <c r="E175" s="1058"/>
      <c r="F175" s="1058"/>
      <c r="G175" s="1058"/>
      <c r="H175" s="1058"/>
      <c r="I175" s="1058"/>
      <c r="J175" s="1058"/>
      <c r="K175" s="1058"/>
      <c r="L175" s="1058"/>
      <c r="M175" s="1058"/>
      <c r="N175" s="1057"/>
      <c r="O175" s="1057"/>
      <c r="P175" s="1057"/>
      <c r="Q175" s="1057"/>
    </row>
    <row r="176" spans="1:17" ht="12.75">
      <c r="A176" s="1057"/>
      <c r="B176" s="1057"/>
      <c r="C176" s="1057"/>
      <c r="D176" s="1057"/>
      <c r="E176" s="1058"/>
      <c r="F176" s="1058"/>
      <c r="G176" s="1058"/>
      <c r="H176" s="1058"/>
      <c r="I176" s="1058"/>
      <c r="J176" s="1058"/>
      <c r="K176" s="1058"/>
      <c r="L176" s="1058"/>
      <c r="M176" s="1058"/>
      <c r="N176" s="1057"/>
      <c r="O176" s="1057"/>
      <c r="P176" s="1057"/>
      <c r="Q176" s="1057"/>
    </row>
    <row r="177" spans="1:17" ht="12.75">
      <c r="A177" s="1057"/>
      <c r="B177" s="1057"/>
      <c r="C177" s="1057"/>
      <c r="D177" s="1057"/>
      <c r="E177" s="1058"/>
      <c r="F177" s="1058"/>
      <c r="G177" s="1058"/>
      <c r="H177" s="1058"/>
      <c r="I177" s="1058"/>
      <c r="J177" s="1058"/>
      <c r="K177" s="1058"/>
      <c r="L177" s="1058"/>
      <c r="M177" s="1058"/>
      <c r="N177" s="1057"/>
      <c r="O177" s="1057"/>
      <c r="P177" s="1057"/>
      <c r="Q177" s="1057"/>
    </row>
    <row r="178" spans="1:17" ht="12.75">
      <c r="A178" s="1057"/>
      <c r="B178" s="1057"/>
      <c r="C178" s="1057"/>
      <c r="D178" s="1057"/>
      <c r="E178" s="1058"/>
      <c r="F178" s="1058"/>
      <c r="G178" s="1058"/>
      <c r="H178" s="1058"/>
      <c r="I178" s="1058"/>
      <c r="J178" s="1058"/>
      <c r="K178" s="1058"/>
      <c r="L178" s="1058"/>
      <c r="M178" s="1058"/>
      <c r="N178" s="1057"/>
      <c r="O178" s="1057"/>
      <c r="P178" s="1057"/>
      <c r="Q178" s="1057"/>
    </row>
    <row r="179" spans="1:17" ht="12.75">
      <c r="A179" s="1057"/>
      <c r="B179" s="1057"/>
      <c r="C179" s="1057"/>
      <c r="D179" s="1057"/>
      <c r="E179" s="1058"/>
      <c r="F179" s="1058"/>
      <c r="G179" s="1058"/>
      <c r="H179" s="1058"/>
      <c r="I179" s="1058"/>
      <c r="J179" s="1058"/>
      <c r="K179" s="1058"/>
      <c r="L179" s="1058"/>
      <c r="M179" s="1058"/>
      <c r="N179" s="1057"/>
      <c r="O179" s="1057"/>
      <c r="P179" s="1057"/>
      <c r="Q179" s="1057"/>
    </row>
    <row r="180" spans="1:17" ht="12.75">
      <c r="A180" s="1057"/>
      <c r="B180" s="1057"/>
      <c r="C180" s="1057"/>
      <c r="D180" s="1057"/>
      <c r="E180" s="1058"/>
      <c r="F180" s="1058"/>
      <c r="G180" s="1058"/>
      <c r="H180" s="1058"/>
      <c r="I180" s="1058"/>
      <c r="J180" s="1058"/>
      <c r="K180" s="1058"/>
      <c r="L180" s="1058"/>
      <c r="M180" s="1058"/>
      <c r="N180" s="1057"/>
      <c r="O180" s="1057"/>
      <c r="P180" s="1057"/>
      <c r="Q180" s="1057"/>
    </row>
    <row r="181" spans="1:17" ht="12.75">
      <c r="A181" s="1057"/>
      <c r="B181" s="1057"/>
      <c r="C181" s="1057"/>
      <c r="D181" s="1057"/>
      <c r="E181" s="1058"/>
      <c r="F181" s="1058"/>
      <c r="G181" s="1058"/>
      <c r="H181" s="1058"/>
      <c r="I181" s="1058"/>
      <c r="J181" s="1058"/>
      <c r="K181" s="1058"/>
      <c r="L181" s="1058"/>
      <c r="M181" s="1058"/>
      <c r="N181" s="1057"/>
      <c r="O181" s="1057"/>
      <c r="P181" s="1057"/>
      <c r="Q181" s="1057"/>
    </row>
    <row r="182" spans="1:17" ht="12.75">
      <c r="A182" s="1057"/>
      <c r="B182" s="1057"/>
      <c r="C182" s="1057"/>
      <c r="D182" s="1057"/>
      <c r="E182" s="1058"/>
      <c r="F182" s="1058"/>
      <c r="G182" s="1058"/>
      <c r="H182" s="1058"/>
      <c r="I182" s="1058"/>
      <c r="J182" s="1058"/>
      <c r="K182" s="1058"/>
      <c r="L182" s="1058"/>
      <c r="M182" s="1058"/>
      <c r="N182" s="1057"/>
      <c r="O182" s="1057"/>
      <c r="P182" s="1057"/>
      <c r="Q182" s="1057"/>
    </row>
    <row r="183" spans="1:17" ht="12.75">
      <c r="A183" s="1057"/>
      <c r="B183" s="1057"/>
      <c r="C183" s="1057"/>
      <c r="D183" s="1057"/>
      <c r="E183" s="1058"/>
      <c r="F183" s="1058"/>
      <c r="G183" s="1058"/>
      <c r="H183" s="1058"/>
      <c r="I183" s="1058"/>
      <c r="J183" s="1058"/>
      <c r="K183" s="1058"/>
      <c r="L183" s="1058"/>
      <c r="M183" s="1058"/>
      <c r="N183" s="1057"/>
      <c r="O183" s="1057"/>
      <c r="P183" s="1057"/>
      <c r="Q183" s="1057"/>
    </row>
    <row r="184" spans="1:17" ht="12.75">
      <c r="A184" s="1057"/>
      <c r="B184" s="1057"/>
      <c r="C184" s="1057"/>
      <c r="D184" s="1057"/>
      <c r="E184" s="1058"/>
      <c r="F184" s="1058"/>
      <c r="G184" s="1058"/>
      <c r="H184" s="1058"/>
      <c r="I184" s="1058"/>
      <c r="J184" s="1058"/>
      <c r="K184" s="1058"/>
      <c r="L184" s="1058"/>
      <c r="M184" s="1058"/>
      <c r="N184" s="1057"/>
      <c r="O184" s="1057"/>
      <c r="P184" s="1057"/>
      <c r="Q184" s="1057"/>
    </row>
    <row r="185" spans="1:17" ht="12.75">
      <c r="A185" s="1057"/>
      <c r="B185" s="1057"/>
      <c r="C185" s="1057"/>
      <c r="D185" s="1057"/>
      <c r="E185" s="1058"/>
      <c r="F185" s="1058"/>
      <c r="G185" s="1058"/>
      <c r="H185" s="1058"/>
      <c r="I185" s="1058"/>
      <c r="J185" s="1058"/>
      <c r="K185" s="1058"/>
      <c r="L185" s="1058"/>
      <c r="M185" s="1058"/>
      <c r="N185" s="1057"/>
      <c r="O185" s="1057"/>
      <c r="P185" s="1057"/>
      <c r="Q185" s="1057"/>
    </row>
    <row r="186" spans="1:17" ht="12.75">
      <c r="A186" s="1057"/>
      <c r="B186" s="1057"/>
      <c r="C186" s="1057"/>
      <c r="D186" s="1057"/>
      <c r="E186" s="1058"/>
      <c r="F186" s="1058"/>
      <c r="G186" s="1058"/>
      <c r="H186" s="1058"/>
      <c r="I186" s="1058"/>
      <c r="J186" s="1058"/>
      <c r="K186" s="1058"/>
      <c r="L186" s="1058"/>
      <c r="M186" s="1058"/>
      <c r="N186" s="1057"/>
      <c r="O186" s="1057"/>
      <c r="P186" s="1057"/>
      <c r="Q186" s="1057"/>
    </row>
    <row r="187" spans="1:17" ht="12.75">
      <c r="A187" s="1057"/>
      <c r="B187" s="1057"/>
      <c r="C187" s="1057"/>
      <c r="D187" s="1057"/>
      <c r="E187" s="1058"/>
      <c r="F187" s="1058"/>
      <c r="G187" s="1058"/>
      <c r="H187" s="1058"/>
      <c r="I187" s="1058"/>
      <c r="J187" s="1058"/>
      <c r="K187" s="1058"/>
      <c r="L187" s="1058"/>
      <c r="M187" s="1058"/>
      <c r="N187" s="1057"/>
      <c r="O187" s="1057"/>
      <c r="P187" s="1057"/>
      <c r="Q187" s="1057"/>
    </row>
    <row r="188" spans="1:17" ht="12.75">
      <c r="A188" s="1057"/>
      <c r="B188" s="1057"/>
      <c r="C188" s="1057"/>
      <c r="D188" s="1057"/>
      <c r="E188" s="1058"/>
      <c r="F188" s="1058"/>
      <c r="G188" s="1058"/>
      <c r="H188" s="1058"/>
      <c r="I188" s="1058"/>
      <c r="J188" s="1058"/>
      <c r="K188" s="1058"/>
      <c r="L188" s="1058"/>
      <c r="M188" s="1058"/>
      <c r="N188" s="1057"/>
      <c r="O188" s="1057"/>
      <c r="P188" s="1057"/>
      <c r="Q188" s="1057"/>
    </row>
    <row r="189" spans="1:17" ht="12.75">
      <c r="A189" s="1057"/>
      <c r="B189" s="1057"/>
      <c r="C189" s="1057"/>
      <c r="D189" s="1057"/>
      <c r="E189" s="1058"/>
      <c r="F189" s="1058"/>
      <c r="G189" s="1058"/>
      <c r="H189" s="1058"/>
      <c r="I189" s="1058"/>
      <c r="J189" s="1058"/>
      <c r="K189" s="1058"/>
      <c r="L189" s="1058"/>
      <c r="M189" s="1058"/>
      <c r="N189" s="1057"/>
      <c r="O189" s="1057"/>
      <c r="P189" s="1057"/>
      <c r="Q189" s="1057"/>
    </row>
    <row r="190" spans="1:17" ht="12.75">
      <c r="A190" s="1057"/>
      <c r="B190" s="1057"/>
      <c r="C190" s="1057"/>
      <c r="D190" s="1057"/>
      <c r="E190" s="1058"/>
      <c r="F190" s="1058"/>
      <c r="G190" s="1058"/>
      <c r="H190" s="1058"/>
      <c r="I190" s="1058"/>
      <c r="J190" s="1058"/>
      <c r="K190" s="1058"/>
      <c r="L190" s="1058"/>
      <c r="M190" s="1058"/>
      <c r="N190" s="1057"/>
      <c r="O190" s="1057"/>
      <c r="P190" s="1057"/>
      <c r="Q190" s="1057"/>
    </row>
    <row r="191" spans="1:17" ht="12.75">
      <c r="A191" s="1057"/>
      <c r="B191" s="1057"/>
      <c r="C191" s="1057"/>
      <c r="D191" s="1057"/>
      <c r="E191" s="1058"/>
      <c r="F191" s="1058"/>
      <c r="G191" s="1058"/>
      <c r="H191" s="1058"/>
      <c r="I191" s="1058"/>
      <c r="J191" s="1058"/>
      <c r="K191" s="1058"/>
      <c r="L191" s="1058"/>
      <c r="M191" s="1058"/>
      <c r="N191" s="1057"/>
      <c r="O191" s="1057"/>
      <c r="P191" s="1057"/>
      <c r="Q191" s="1057"/>
    </row>
    <row r="192" spans="1:17" ht="12.75">
      <c r="A192" s="1057"/>
      <c r="B192" s="1057"/>
      <c r="C192" s="1057"/>
      <c r="D192" s="1057"/>
      <c r="E192" s="1058"/>
      <c r="F192" s="1058"/>
      <c r="G192" s="1058"/>
      <c r="H192" s="1058"/>
      <c r="I192" s="1058"/>
      <c r="J192" s="1058"/>
      <c r="K192" s="1058"/>
      <c r="L192" s="1058"/>
      <c r="M192" s="1058"/>
      <c r="N192" s="1057"/>
      <c r="O192" s="1057"/>
      <c r="P192" s="1057"/>
      <c r="Q192" s="1057"/>
    </row>
    <row r="193" spans="1:17" ht="12.75">
      <c r="A193" s="1057"/>
      <c r="B193" s="1057"/>
      <c r="C193" s="1057"/>
      <c r="D193" s="1057"/>
      <c r="E193" s="1058"/>
      <c r="F193" s="1058"/>
      <c r="G193" s="1058"/>
      <c r="H193" s="1058"/>
      <c r="I193" s="1058"/>
      <c r="J193" s="1058"/>
      <c r="K193" s="1058"/>
      <c r="L193" s="1058"/>
      <c r="M193" s="1058"/>
      <c r="N193" s="1057"/>
      <c r="O193" s="1057"/>
      <c r="P193" s="1057"/>
      <c r="Q193" s="1057"/>
    </row>
    <row r="194" spans="1:17" ht="12.75">
      <c r="A194" s="1057"/>
      <c r="B194" s="1057"/>
      <c r="C194" s="1057"/>
      <c r="D194" s="1057"/>
      <c r="E194" s="1058"/>
      <c r="F194" s="1058"/>
      <c r="G194" s="1058"/>
      <c r="H194" s="1058"/>
      <c r="I194" s="1058"/>
      <c r="J194" s="1058"/>
      <c r="K194" s="1058"/>
      <c r="L194" s="1058"/>
      <c r="M194" s="1058"/>
      <c r="N194" s="1057"/>
      <c r="O194" s="1057"/>
      <c r="P194" s="1057"/>
      <c r="Q194" s="1057"/>
    </row>
    <row r="195" spans="1:17" ht="12.75">
      <c r="A195" s="1057"/>
      <c r="B195" s="1057"/>
      <c r="C195" s="1057"/>
      <c r="D195" s="1057"/>
      <c r="E195" s="1058"/>
      <c r="F195" s="1058"/>
      <c r="G195" s="1058"/>
      <c r="H195" s="1058"/>
      <c r="I195" s="1058"/>
      <c r="J195" s="1058"/>
      <c r="K195" s="1058"/>
      <c r="L195" s="1058"/>
      <c r="M195" s="1058"/>
      <c r="N195" s="1057"/>
      <c r="O195" s="1057"/>
      <c r="P195" s="1057"/>
      <c r="Q195" s="1057"/>
    </row>
    <row r="196" spans="1:17" ht="12.75">
      <c r="A196" s="1057"/>
      <c r="B196" s="1057"/>
      <c r="C196" s="1057"/>
      <c r="D196" s="1057"/>
      <c r="E196" s="1058"/>
      <c r="F196" s="1058"/>
      <c r="G196" s="1058"/>
      <c r="H196" s="1058"/>
      <c r="I196" s="1058"/>
      <c r="J196" s="1058"/>
      <c r="K196" s="1058"/>
      <c r="L196" s="1058"/>
      <c r="M196" s="1058"/>
      <c r="N196" s="1057"/>
      <c r="O196" s="1057"/>
      <c r="P196" s="1057"/>
      <c r="Q196" s="1057"/>
    </row>
    <row r="197" spans="1:17" ht="12.75">
      <c r="A197" s="1057"/>
      <c r="B197" s="1057"/>
      <c r="C197" s="1057"/>
      <c r="D197" s="1057"/>
      <c r="E197" s="1058"/>
      <c r="F197" s="1058"/>
      <c r="G197" s="1058"/>
      <c r="H197" s="1058"/>
      <c r="I197" s="1058"/>
      <c r="J197" s="1058"/>
      <c r="K197" s="1058"/>
      <c r="L197" s="1058"/>
      <c r="M197" s="1058"/>
      <c r="N197" s="1057"/>
      <c r="O197" s="1057"/>
      <c r="P197" s="1057"/>
      <c r="Q197" s="1057"/>
    </row>
    <row r="198" spans="1:17" ht="12.75">
      <c r="A198" s="1057"/>
      <c r="B198" s="1057"/>
      <c r="C198" s="1057"/>
      <c r="D198" s="1057"/>
      <c r="E198" s="1058"/>
      <c r="F198" s="1058"/>
      <c r="G198" s="1058"/>
      <c r="H198" s="1058"/>
      <c r="I198" s="1058"/>
      <c r="J198" s="1058"/>
      <c r="K198" s="1058"/>
      <c r="L198" s="1058"/>
      <c r="M198" s="1058"/>
      <c r="N198" s="1057"/>
      <c r="O198" s="1057"/>
      <c r="P198" s="1057"/>
      <c r="Q198" s="1057"/>
    </row>
    <row r="199" spans="1:17" ht="12.75">
      <c r="A199" s="1057"/>
      <c r="B199" s="1057"/>
      <c r="C199" s="1057"/>
      <c r="D199" s="1057"/>
      <c r="E199" s="1058"/>
      <c r="F199" s="1058"/>
      <c r="G199" s="1058"/>
      <c r="H199" s="1058"/>
      <c r="I199" s="1058"/>
      <c r="J199" s="1058"/>
      <c r="K199" s="1058"/>
      <c r="L199" s="1058"/>
      <c r="M199" s="1058"/>
      <c r="N199" s="1057"/>
      <c r="O199" s="1057"/>
      <c r="P199" s="1057"/>
      <c r="Q199" s="1057"/>
    </row>
    <row r="200" spans="1:17" ht="12.75">
      <c r="A200" s="1057"/>
      <c r="B200" s="1057"/>
      <c r="C200" s="1057"/>
      <c r="D200" s="1057"/>
      <c r="E200" s="1058"/>
      <c r="F200" s="1058"/>
      <c r="G200" s="1058"/>
      <c r="H200" s="1058"/>
      <c r="I200" s="1058"/>
      <c r="J200" s="1058"/>
      <c r="K200" s="1058"/>
      <c r="L200" s="1058"/>
      <c r="M200" s="1058"/>
      <c r="N200" s="1057"/>
      <c r="O200" s="1057"/>
      <c r="P200" s="1057"/>
      <c r="Q200" s="1057"/>
    </row>
    <row r="201" spans="1:17" ht="12.75">
      <c r="A201" s="1057"/>
      <c r="B201" s="1057"/>
      <c r="C201" s="1057"/>
      <c r="D201" s="1057"/>
      <c r="E201" s="1058"/>
      <c r="F201" s="1058"/>
      <c r="G201" s="1058"/>
      <c r="H201" s="1058"/>
      <c r="I201" s="1058"/>
      <c r="J201" s="1058"/>
      <c r="K201" s="1058"/>
      <c r="L201" s="1058"/>
      <c r="M201" s="1058"/>
      <c r="N201" s="1057"/>
      <c r="O201" s="1057"/>
      <c r="P201" s="1057"/>
      <c r="Q201" s="1057"/>
    </row>
    <row r="202" spans="1:17" ht="12.75">
      <c r="A202" s="1057"/>
      <c r="B202" s="1057"/>
      <c r="C202" s="1057"/>
      <c r="D202" s="1057"/>
      <c r="E202" s="1058"/>
      <c r="F202" s="1058"/>
      <c r="G202" s="1058"/>
      <c r="H202" s="1058"/>
      <c r="I202" s="1058"/>
      <c r="J202" s="1058"/>
      <c r="K202" s="1058"/>
      <c r="L202" s="1058"/>
      <c r="M202" s="1058"/>
      <c r="N202" s="1057"/>
      <c r="O202" s="1057"/>
      <c r="P202" s="1057"/>
      <c r="Q202" s="1057"/>
    </row>
    <row r="203" spans="1:17" ht="12.75">
      <c r="A203" s="1057"/>
      <c r="B203" s="1057"/>
      <c r="C203" s="1057"/>
      <c r="D203" s="1057"/>
      <c r="E203" s="1058"/>
      <c r="F203" s="1058"/>
      <c r="G203" s="1058"/>
      <c r="H203" s="1058"/>
      <c r="I203" s="1058"/>
      <c r="J203" s="1058"/>
      <c r="K203" s="1058"/>
      <c r="L203" s="1058"/>
      <c r="M203" s="1058"/>
      <c r="N203" s="1057"/>
      <c r="O203" s="1057"/>
      <c r="P203" s="1057"/>
      <c r="Q203" s="1057"/>
    </row>
    <row r="204" spans="1:17" ht="12.75">
      <c r="A204" s="1057"/>
      <c r="B204" s="1057"/>
      <c r="C204" s="1057"/>
      <c r="D204" s="1057"/>
      <c r="E204" s="1058"/>
      <c r="F204" s="1058"/>
      <c r="G204" s="1058"/>
      <c r="H204" s="1058"/>
      <c r="I204" s="1058"/>
      <c r="J204" s="1058"/>
      <c r="K204" s="1058"/>
      <c r="L204" s="1058"/>
      <c r="M204" s="1058"/>
      <c r="N204" s="1057"/>
      <c r="O204" s="1057"/>
      <c r="P204" s="1057"/>
      <c r="Q204" s="1057"/>
    </row>
    <row r="205" spans="1:17" ht="12.75">
      <c r="A205" s="1057"/>
      <c r="B205" s="1057"/>
      <c r="C205" s="1057"/>
      <c r="D205" s="1057"/>
      <c r="E205" s="1058"/>
      <c r="F205" s="1058"/>
      <c r="G205" s="1058"/>
      <c r="H205" s="1058"/>
      <c r="I205" s="1058"/>
      <c r="J205" s="1058"/>
      <c r="K205" s="1058"/>
      <c r="L205" s="1058"/>
      <c r="M205" s="1058"/>
      <c r="N205" s="1057"/>
      <c r="O205" s="1057"/>
      <c r="P205" s="1057"/>
      <c r="Q205" s="1057"/>
    </row>
    <row r="206" spans="1:17" ht="12.75">
      <c r="A206" s="1057"/>
      <c r="B206" s="1057"/>
      <c r="C206" s="1057"/>
      <c r="D206" s="1057"/>
      <c r="E206" s="1058"/>
      <c r="F206" s="1058"/>
      <c r="G206" s="1058"/>
      <c r="H206" s="1058"/>
      <c r="I206" s="1058"/>
      <c r="J206" s="1058"/>
      <c r="K206" s="1058"/>
      <c r="L206" s="1058"/>
      <c r="M206" s="1058"/>
      <c r="N206" s="1057"/>
      <c r="O206" s="1057"/>
      <c r="P206" s="1057"/>
      <c r="Q206" s="1057"/>
    </row>
    <row r="207" spans="1:17" ht="12.75">
      <c r="A207" s="1057"/>
      <c r="B207" s="1057"/>
      <c r="C207" s="1057"/>
      <c r="D207" s="1057"/>
      <c r="E207" s="1058"/>
      <c r="F207" s="1058"/>
      <c r="G207" s="1058"/>
      <c r="H207" s="1058"/>
      <c r="I207" s="1058"/>
      <c r="J207" s="1058"/>
      <c r="K207" s="1058"/>
      <c r="L207" s="1058"/>
      <c r="M207" s="1058"/>
      <c r="N207" s="1057"/>
      <c r="O207" s="1057"/>
      <c r="P207" s="1057"/>
      <c r="Q207" s="1057"/>
    </row>
    <row r="208" spans="1:17" ht="12.75">
      <c r="A208" s="1057"/>
      <c r="B208" s="1057"/>
      <c r="C208" s="1057"/>
      <c r="D208" s="1057"/>
      <c r="E208" s="1058"/>
      <c r="F208" s="1058"/>
      <c r="G208" s="1058"/>
      <c r="H208" s="1058"/>
      <c r="I208" s="1058"/>
      <c r="J208" s="1058"/>
      <c r="K208" s="1058"/>
      <c r="L208" s="1058"/>
      <c r="M208" s="1058"/>
      <c r="N208" s="1057"/>
      <c r="O208" s="1057"/>
      <c r="P208" s="1057"/>
      <c r="Q208" s="1057"/>
    </row>
    <row r="209" spans="1:17" ht="12.75">
      <c r="A209" s="1057"/>
      <c r="B209" s="1057"/>
      <c r="C209" s="1057"/>
      <c r="D209" s="1057"/>
      <c r="E209" s="1058"/>
      <c r="F209" s="1058"/>
      <c r="G209" s="1058"/>
      <c r="H209" s="1058"/>
      <c r="I209" s="1058"/>
      <c r="J209" s="1058"/>
      <c r="K209" s="1058"/>
      <c r="L209" s="1058"/>
      <c r="M209" s="1058"/>
      <c r="N209" s="1057"/>
      <c r="O209" s="1057"/>
      <c r="P209" s="1057"/>
      <c r="Q209" s="1057"/>
    </row>
    <row r="210" spans="1:17" ht="12.75">
      <c r="A210" s="1057"/>
      <c r="B210" s="1057"/>
      <c r="C210" s="1057"/>
      <c r="D210" s="1057"/>
      <c r="E210" s="1058"/>
      <c r="F210" s="1058"/>
      <c r="G210" s="1058"/>
      <c r="H210" s="1058"/>
      <c r="I210" s="1058"/>
      <c r="J210" s="1058"/>
      <c r="K210" s="1058"/>
      <c r="L210" s="1058"/>
      <c r="M210" s="1058"/>
      <c r="N210" s="1057"/>
      <c r="O210" s="1057"/>
      <c r="P210" s="1057"/>
      <c r="Q210" s="1057"/>
    </row>
    <row r="211" spans="1:17" ht="12.75">
      <c r="A211" s="1057"/>
      <c r="B211" s="1057"/>
      <c r="C211" s="1057"/>
      <c r="D211" s="1057"/>
      <c r="E211" s="1058"/>
      <c r="F211" s="1058"/>
      <c r="G211" s="1058"/>
      <c r="H211" s="1058"/>
      <c r="I211" s="1058"/>
      <c r="J211" s="1058"/>
      <c r="K211" s="1058"/>
      <c r="L211" s="1058"/>
      <c r="M211" s="1058"/>
      <c r="N211" s="1057"/>
      <c r="O211" s="1057"/>
      <c r="P211" s="1057"/>
      <c r="Q211" s="1057"/>
    </row>
    <row r="212" spans="1:17" ht="12.75">
      <c r="A212" s="1057"/>
      <c r="B212" s="1057"/>
      <c r="C212" s="1057"/>
      <c r="D212" s="1057"/>
      <c r="E212" s="1058"/>
      <c r="F212" s="1058"/>
      <c r="G212" s="1058"/>
      <c r="H212" s="1058"/>
      <c r="I212" s="1058"/>
      <c r="J212" s="1058"/>
      <c r="K212" s="1058"/>
      <c r="L212" s="1058"/>
      <c r="M212" s="1058"/>
      <c r="N212" s="1057"/>
      <c r="O212" s="1057"/>
      <c r="P212" s="1057"/>
      <c r="Q212" s="1057"/>
    </row>
    <row r="213" spans="1:17" ht="12.75">
      <c r="A213" s="1057"/>
      <c r="B213" s="1057"/>
      <c r="C213" s="1057"/>
      <c r="D213" s="1057"/>
      <c r="E213" s="1058"/>
      <c r="F213" s="1058"/>
      <c r="G213" s="1058"/>
      <c r="H213" s="1058"/>
      <c r="I213" s="1058"/>
      <c r="J213" s="1058"/>
      <c r="K213" s="1058"/>
      <c r="L213" s="1058"/>
      <c r="M213" s="1058"/>
      <c r="N213" s="1057"/>
      <c r="O213" s="1057"/>
      <c r="P213" s="1057"/>
      <c r="Q213" s="1057"/>
    </row>
    <row r="214" spans="1:17" ht="12.75">
      <c r="A214" s="1057"/>
      <c r="B214" s="1057"/>
      <c r="C214" s="1057"/>
      <c r="D214" s="1057"/>
      <c r="E214" s="1058"/>
      <c r="F214" s="1058"/>
      <c r="G214" s="1058"/>
      <c r="H214" s="1058"/>
      <c r="I214" s="1058"/>
      <c r="J214" s="1058"/>
      <c r="K214" s="1058"/>
      <c r="L214" s="1058"/>
      <c r="M214" s="1058"/>
      <c r="N214" s="1057"/>
      <c r="O214" s="1057"/>
      <c r="P214" s="1057"/>
      <c r="Q214" s="1057"/>
    </row>
    <row r="215" spans="1:17" ht="12.75">
      <c r="A215" s="1057"/>
      <c r="B215" s="1057"/>
      <c r="C215" s="1057"/>
      <c r="D215" s="1057"/>
      <c r="E215" s="1058"/>
      <c r="F215" s="1058"/>
      <c r="G215" s="1058"/>
      <c r="H215" s="1058"/>
      <c r="I215" s="1058"/>
      <c r="J215" s="1058"/>
      <c r="K215" s="1058"/>
      <c r="L215" s="1058"/>
      <c r="M215" s="1058"/>
      <c r="N215" s="1057"/>
      <c r="O215" s="1057"/>
      <c r="P215" s="1057"/>
      <c r="Q215" s="1057"/>
    </row>
    <row r="216" spans="1:17" ht="12.75">
      <c r="A216" s="1057"/>
      <c r="B216" s="1057"/>
      <c r="C216" s="1057"/>
      <c r="D216" s="1057"/>
      <c r="E216" s="1058"/>
      <c r="F216" s="1058"/>
      <c r="G216" s="1058"/>
      <c r="H216" s="1058"/>
      <c r="I216" s="1058"/>
      <c r="J216" s="1058"/>
      <c r="K216" s="1058"/>
      <c r="L216" s="1058"/>
      <c r="M216" s="1058"/>
      <c r="N216" s="1057"/>
      <c r="O216" s="1057"/>
      <c r="P216" s="1057"/>
      <c r="Q216" s="1057"/>
    </row>
    <row r="217" spans="1:17" ht="12.75">
      <c r="A217" s="1057"/>
      <c r="B217" s="1057"/>
      <c r="C217" s="1057"/>
      <c r="D217" s="1057"/>
      <c r="E217" s="1058"/>
      <c r="F217" s="1058"/>
      <c r="G217" s="1058"/>
      <c r="H217" s="1058"/>
      <c r="I217" s="1058"/>
      <c r="J217" s="1058"/>
      <c r="K217" s="1058"/>
      <c r="L217" s="1058"/>
      <c r="M217" s="1058"/>
      <c r="N217" s="1057"/>
      <c r="O217" s="1057"/>
      <c r="P217" s="1057"/>
      <c r="Q217" s="1057"/>
    </row>
    <row r="218" spans="1:17" ht="12.75">
      <c r="A218" s="1057"/>
      <c r="B218" s="1057"/>
      <c r="C218" s="1057"/>
      <c r="D218" s="1057"/>
      <c r="E218" s="1058"/>
      <c r="F218" s="1058"/>
      <c r="G218" s="1058"/>
      <c r="H218" s="1058"/>
      <c r="I218" s="1058"/>
      <c r="J218" s="1058"/>
      <c r="K218" s="1058"/>
      <c r="L218" s="1058"/>
      <c r="M218" s="1058"/>
      <c r="N218" s="1057"/>
      <c r="O218" s="1057"/>
      <c r="P218" s="1057"/>
      <c r="Q218" s="1057"/>
    </row>
    <row r="219" spans="1:17" ht="12.75">
      <c r="A219" s="1057"/>
      <c r="B219" s="1057"/>
      <c r="C219" s="1057"/>
      <c r="D219" s="1057"/>
      <c r="E219" s="1058"/>
      <c r="F219" s="1058"/>
      <c r="G219" s="1058"/>
      <c r="H219" s="1058"/>
      <c r="I219" s="1058"/>
      <c r="J219" s="1058"/>
      <c r="K219" s="1058"/>
      <c r="L219" s="1058"/>
      <c r="M219" s="1058"/>
      <c r="N219" s="1057"/>
      <c r="O219" s="1057"/>
      <c r="P219" s="1057"/>
      <c r="Q219" s="1057"/>
    </row>
    <row r="220" spans="1:17" ht="12.75">
      <c r="A220" s="1057"/>
      <c r="B220" s="1057"/>
      <c r="C220" s="1057"/>
      <c r="D220" s="1057"/>
      <c r="E220" s="1058"/>
      <c r="F220" s="1058"/>
      <c r="G220" s="1058"/>
      <c r="H220" s="1058"/>
      <c r="I220" s="1058"/>
      <c r="J220" s="1058"/>
      <c r="K220" s="1058"/>
      <c r="L220" s="1058"/>
      <c r="M220" s="1058"/>
      <c r="N220" s="1057"/>
      <c r="O220" s="1057"/>
      <c r="P220" s="1057"/>
      <c r="Q220" s="1057"/>
    </row>
    <row r="221" spans="1:17" ht="12.75">
      <c r="A221" s="1057"/>
      <c r="B221" s="1057"/>
      <c r="C221" s="1057"/>
      <c r="D221" s="1057"/>
      <c r="E221" s="1058"/>
      <c r="F221" s="1058"/>
      <c r="G221" s="1058"/>
      <c r="H221" s="1058"/>
      <c r="I221" s="1058"/>
      <c r="J221" s="1058"/>
      <c r="K221" s="1058"/>
      <c r="L221" s="1058"/>
      <c r="M221" s="1058"/>
      <c r="N221" s="1057"/>
      <c r="O221" s="1057"/>
      <c r="P221" s="1057"/>
      <c r="Q221" s="1057"/>
    </row>
    <row r="222" spans="1:17" ht="12.75">
      <c r="A222" s="1057"/>
      <c r="B222" s="1057"/>
      <c r="C222" s="1057"/>
      <c r="D222" s="1057"/>
      <c r="E222" s="1058"/>
      <c r="F222" s="1058"/>
      <c r="G222" s="1058"/>
      <c r="H222" s="1058"/>
      <c r="I222" s="1058"/>
      <c r="J222" s="1058"/>
      <c r="K222" s="1058"/>
      <c r="L222" s="1058"/>
      <c r="M222" s="1058"/>
      <c r="N222" s="1057"/>
      <c r="O222" s="1057"/>
      <c r="P222" s="1057"/>
      <c r="Q222" s="1057"/>
    </row>
    <row r="223" spans="1:17" ht="12.75">
      <c r="A223" s="1057"/>
      <c r="B223" s="1057"/>
      <c r="C223" s="1057"/>
      <c r="D223" s="1057"/>
      <c r="E223" s="1058"/>
      <c r="F223" s="1058"/>
      <c r="G223" s="1058"/>
      <c r="H223" s="1058"/>
      <c r="I223" s="1058"/>
      <c r="J223" s="1058"/>
      <c r="K223" s="1058"/>
      <c r="L223" s="1058"/>
      <c r="M223" s="1058"/>
      <c r="N223" s="1057"/>
      <c r="O223" s="1057"/>
      <c r="P223" s="1057"/>
      <c r="Q223" s="1057"/>
    </row>
    <row r="224" spans="1:17" ht="12.75">
      <c r="A224" s="1057"/>
      <c r="B224" s="1057"/>
      <c r="C224" s="1057"/>
      <c r="D224" s="1057"/>
      <c r="E224" s="1058"/>
      <c r="F224" s="1058"/>
      <c r="G224" s="1058"/>
      <c r="H224" s="1058"/>
      <c r="I224" s="1058"/>
      <c r="J224" s="1058"/>
      <c r="K224" s="1058"/>
      <c r="L224" s="1058"/>
      <c r="M224" s="1058"/>
      <c r="N224" s="1057"/>
      <c r="O224" s="1057"/>
      <c r="P224" s="1057"/>
      <c r="Q224" s="1057"/>
    </row>
    <row r="225" spans="1:17" ht="12.75">
      <c r="A225" s="1057"/>
      <c r="B225" s="1057"/>
      <c r="C225" s="1057"/>
      <c r="D225" s="1057"/>
      <c r="E225" s="1058"/>
      <c r="F225" s="1058"/>
      <c r="G225" s="1058"/>
      <c r="H225" s="1058"/>
      <c r="I225" s="1058"/>
      <c r="J225" s="1058"/>
      <c r="K225" s="1058"/>
      <c r="L225" s="1058"/>
      <c r="M225" s="1058"/>
      <c r="N225" s="1057"/>
      <c r="O225" s="1057"/>
      <c r="P225" s="1057"/>
      <c r="Q225" s="1057"/>
    </row>
    <row r="226" spans="1:17" ht="12.75">
      <c r="A226" s="1057"/>
      <c r="B226" s="1057"/>
      <c r="C226" s="1057"/>
      <c r="D226" s="1057"/>
      <c r="E226" s="1058"/>
      <c r="F226" s="1058"/>
      <c r="G226" s="1058"/>
      <c r="H226" s="1058"/>
      <c r="I226" s="1058"/>
      <c r="J226" s="1058"/>
      <c r="K226" s="1058"/>
      <c r="L226" s="1058"/>
      <c r="M226" s="1058"/>
      <c r="N226" s="1057"/>
      <c r="O226" s="1057"/>
      <c r="P226" s="1057"/>
      <c r="Q226" s="1057"/>
    </row>
    <row r="227" spans="1:17" ht="12.75">
      <c r="A227" s="1057"/>
      <c r="B227" s="1057"/>
      <c r="C227" s="1057"/>
      <c r="D227" s="1057"/>
      <c r="E227" s="1058"/>
      <c r="F227" s="1058"/>
      <c r="G227" s="1058"/>
      <c r="H227" s="1058"/>
      <c r="I227" s="1058"/>
      <c r="J227" s="1058"/>
      <c r="K227" s="1058"/>
      <c r="L227" s="1058"/>
      <c r="M227" s="1058"/>
      <c r="N227" s="1057"/>
      <c r="O227" s="1057"/>
      <c r="P227" s="1057"/>
      <c r="Q227" s="1057"/>
    </row>
    <row r="228" spans="1:17" ht="12.75">
      <c r="A228" s="1057"/>
      <c r="B228" s="1057"/>
      <c r="C228" s="1057"/>
      <c r="D228" s="1057"/>
      <c r="E228" s="1058"/>
      <c r="F228" s="1058"/>
      <c r="G228" s="1058"/>
      <c r="H228" s="1058"/>
      <c r="I228" s="1058"/>
      <c r="J228" s="1058"/>
      <c r="K228" s="1058"/>
      <c r="L228" s="1058"/>
      <c r="M228" s="1058"/>
      <c r="N228" s="1057"/>
      <c r="O228" s="1057"/>
      <c r="P228" s="1057"/>
      <c r="Q228" s="1057"/>
    </row>
    <row r="229" spans="1:17" ht="12.75">
      <c r="A229" s="1057"/>
      <c r="B229" s="1057"/>
      <c r="C229" s="1057"/>
      <c r="D229" s="1057"/>
      <c r="E229" s="1058"/>
      <c r="F229" s="1058"/>
      <c r="G229" s="1058"/>
      <c r="H229" s="1058"/>
      <c r="I229" s="1058"/>
      <c r="J229" s="1058"/>
      <c r="K229" s="1058"/>
      <c r="L229" s="1058"/>
      <c r="M229" s="1058"/>
      <c r="N229" s="1057"/>
      <c r="O229" s="1057"/>
      <c r="P229" s="1057"/>
      <c r="Q229" s="1057"/>
    </row>
    <row r="230" spans="1:17" ht="12.75">
      <c r="A230" s="1057"/>
      <c r="B230" s="1057"/>
      <c r="C230" s="1057"/>
      <c r="D230" s="1057"/>
      <c r="E230" s="1058"/>
      <c r="F230" s="1058"/>
      <c r="G230" s="1058"/>
      <c r="H230" s="1058"/>
      <c r="I230" s="1058"/>
      <c r="J230" s="1058"/>
      <c r="K230" s="1058"/>
      <c r="L230" s="1058"/>
      <c r="M230" s="1058"/>
      <c r="N230" s="1057"/>
      <c r="O230" s="1057"/>
      <c r="P230" s="1057"/>
      <c r="Q230" s="1057"/>
    </row>
    <row r="231" spans="1:17" ht="12.75">
      <c r="A231" s="1057"/>
      <c r="B231" s="1057"/>
      <c r="C231" s="1057"/>
      <c r="D231" s="1057"/>
      <c r="E231" s="1058"/>
      <c r="F231" s="1058"/>
      <c r="G231" s="1058"/>
      <c r="H231" s="1058"/>
      <c r="I231" s="1058"/>
      <c r="J231" s="1058"/>
      <c r="K231" s="1058"/>
      <c r="L231" s="1058"/>
      <c r="M231" s="1058"/>
      <c r="N231" s="1057"/>
      <c r="O231" s="1057"/>
      <c r="P231" s="1057"/>
      <c r="Q231" s="1057"/>
    </row>
    <row r="232" spans="1:17" ht="12.75">
      <c r="A232" s="1057"/>
      <c r="B232" s="1057"/>
      <c r="C232" s="1057"/>
      <c r="D232" s="1057"/>
      <c r="E232" s="1058"/>
      <c r="F232" s="1058"/>
      <c r="G232" s="1058"/>
      <c r="H232" s="1058"/>
      <c r="I232" s="1058"/>
      <c r="J232" s="1058"/>
      <c r="K232" s="1058"/>
      <c r="L232" s="1058"/>
      <c r="M232" s="1058"/>
      <c r="N232" s="1057"/>
      <c r="O232" s="1057"/>
      <c r="P232" s="1057"/>
      <c r="Q232" s="1057"/>
    </row>
    <row r="233" spans="1:17" ht="12.75">
      <c r="A233" s="1057"/>
      <c r="B233" s="1057"/>
      <c r="C233" s="1057"/>
      <c r="D233" s="1057"/>
      <c r="E233" s="1058"/>
      <c r="F233" s="1058"/>
      <c r="G233" s="1058"/>
      <c r="H233" s="1058"/>
      <c r="I233" s="1058"/>
      <c r="J233" s="1058"/>
      <c r="K233" s="1058"/>
      <c r="L233" s="1058"/>
      <c r="M233" s="1058"/>
      <c r="N233" s="1057"/>
      <c r="O233" s="1057"/>
      <c r="P233" s="1057"/>
      <c r="Q233" s="1057"/>
    </row>
    <row r="234" spans="1:17" ht="12.75">
      <c r="A234" s="1057"/>
      <c r="B234" s="1057"/>
      <c r="C234" s="1057"/>
      <c r="D234" s="1057"/>
      <c r="E234" s="1058"/>
      <c r="F234" s="1058"/>
      <c r="G234" s="1058"/>
      <c r="H234" s="1058"/>
      <c r="I234" s="1058"/>
      <c r="J234" s="1058"/>
      <c r="K234" s="1058"/>
      <c r="L234" s="1058"/>
      <c r="M234" s="1058"/>
      <c r="N234" s="1057"/>
      <c r="O234" s="1057"/>
      <c r="P234" s="1057"/>
      <c r="Q234" s="1057"/>
    </row>
    <row r="235" spans="1:17" ht="12.75">
      <c r="A235" s="1057"/>
      <c r="B235" s="1057"/>
      <c r="C235" s="1057"/>
      <c r="D235" s="1057"/>
      <c r="E235" s="1058"/>
      <c r="F235" s="1058"/>
      <c r="G235" s="1058"/>
      <c r="H235" s="1058"/>
      <c r="I235" s="1058"/>
      <c r="J235" s="1058"/>
      <c r="K235" s="1058"/>
      <c r="L235" s="1058"/>
      <c r="M235" s="1058"/>
      <c r="N235" s="1057"/>
      <c r="O235" s="1057"/>
      <c r="P235" s="1057"/>
      <c r="Q235" s="1057"/>
    </row>
    <row r="236" spans="1:17" ht="12.75">
      <c r="A236" s="1057"/>
      <c r="B236" s="1057"/>
      <c r="C236" s="1057"/>
      <c r="D236" s="1057"/>
      <c r="E236" s="1058"/>
      <c r="F236" s="1058"/>
      <c r="G236" s="1058"/>
      <c r="H236" s="1058"/>
      <c r="I236" s="1058"/>
      <c r="J236" s="1058"/>
      <c r="K236" s="1058"/>
      <c r="L236" s="1058"/>
      <c r="M236" s="1058"/>
      <c r="N236" s="1057"/>
      <c r="O236" s="1057"/>
      <c r="P236" s="1057"/>
      <c r="Q236" s="1057"/>
    </row>
    <row r="237" spans="1:17" ht="12.75">
      <c r="A237" s="1057"/>
      <c r="B237" s="1057"/>
      <c r="C237" s="1057"/>
      <c r="D237" s="1057"/>
      <c r="E237" s="1058"/>
      <c r="F237" s="1058"/>
      <c r="G237" s="1058"/>
      <c r="H237" s="1058"/>
      <c r="I237" s="1058"/>
      <c r="J237" s="1058"/>
      <c r="K237" s="1058"/>
      <c r="L237" s="1058"/>
      <c r="M237" s="1058"/>
      <c r="N237" s="1057"/>
      <c r="O237" s="1057"/>
      <c r="P237" s="1057"/>
      <c r="Q237" s="1057"/>
    </row>
    <row r="238" spans="1:17" ht="12.75">
      <c r="A238" s="1057"/>
      <c r="B238" s="1057"/>
      <c r="C238" s="1057"/>
      <c r="D238" s="1057"/>
      <c r="E238" s="1058"/>
      <c r="F238" s="1058"/>
      <c r="G238" s="1058"/>
      <c r="H238" s="1058"/>
      <c r="I238" s="1058"/>
      <c r="J238" s="1058"/>
      <c r="K238" s="1058"/>
      <c r="L238" s="1058"/>
      <c r="M238" s="1058"/>
      <c r="N238" s="1057"/>
      <c r="O238" s="1057"/>
      <c r="P238" s="1057"/>
      <c r="Q238" s="1057"/>
    </row>
    <row r="239" spans="1:17" ht="12.75">
      <c r="A239" s="1057"/>
      <c r="B239" s="1057"/>
      <c r="C239" s="1057"/>
      <c r="D239" s="1057"/>
      <c r="E239" s="1058"/>
      <c r="F239" s="1058"/>
      <c r="G239" s="1058"/>
      <c r="H239" s="1058"/>
      <c r="I239" s="1058"/>
      <c r="J239" s="1058"/>
      <c r="K239" s="1058"/>
      <c r="L239" s="1058"/>
      <c r="M239" s="1058"/>
      <c r="N239" s="1057"/>
      <c r="O239" s="1057"/>
      <c r="P239" s="1057"/>
      <c r="Q239" s="1057"/>
    </row>
    <row r="240" spans="1:17" ht="12.75">
      <c r="A240" s="1057"/>
      <c r="B240" s="1057"/>
      <c r="C240" s="1057"/>
      <c r="D240" s="1057"/>
      <c r="E240" s="1058"/>
      <c r="F240" s="1058"/>
      <c r="G240" s="1058"/>
      <c r="H240" s="1058"/>
      <c r="I240" s="1058"/>
      <c r="J240" s="1058"/>
      <c r="K240" s="1058"/>
      <c r="L240" s="1058"/>
      <c r="M240" s="1058"/>
      <c r="N240" s="1057"/>
      <c r="O240" s="1057"/>
      <c r="P240" s="1057"/>
      <c r="Q240" s="1057"/>
    </row>
    <row r="241" spans="1:17" ht="12.75">
      <c r="A241" s="1057"/>
      <c r="B241" s="1057"/>
      <c r="C241" s="1057"/>
      <c r="D241" s="1057"/>
      <c r="E241" s="1058"/>
      <c r="F241" s="1058"/>
      <c r="G241" s="1058"/>
      <c r="H241" s="1058"/>
      <c r="I241" s="1058"/>
      <c r="J241" s="1058"/>
      <c r="K241" s="1058"/>
      <c r="L241" s="1058"/>
      <c r="M241" s="1058"/>
      <c r="N241" s="1057"/>
      <c r="O241" s="1057"/>
      <c r="P241" s="1057"/>
      <c r="Q241" s="1057"/>
    </row>
    <row r="242" spans="1:17" ht="12.75">
      <c r="A242" s="1057"/>
      <c r="B242" s="1057"/>
      <c r="C242" s="1057"/>
      <c r="D242" s="1057"/>
      <c r="E242" s="1058"/>
      <c r="F242" s="1058"/>
      <c r="G242" s="1058"/>
      <c r="H242" s="1058"/>
      <c r="I242" s="1058"/>
      <c r="J242" s="1058"/>
      <c r="K242" s="1058"/>
      <c r="L242" s="1058"/>
      <c r="M242" s="1058"/>
      <c r="N242" s="1057"/>
      <c r="O242" s="1057"/>
      <c r="P242" s="1057"/>
      <c r="Q242" s="1057"/>
    </row>
    <row r="243" spans="1:17" ht="12.75">
      <c r="A243" s="1057"/>
      <c r="B243" s="1057"/>
      <c r="C243" s="1057"/>
      <c r="D243" s="1057"/>
      <c r="E243" s="1058"/>
      <c r="F243" s="1058"/>
      <c r="G243" s="1058"/>
      <c r="H243" s="1058"/>
      <c r="I243" s="1058"/>
      <c r="J243" s="1058"/>
      <c r="K243" s="1058"/>
      <c r="L243" s="1058"/>
      <c r="M243" s="1058"/>
      <c r="N243" s="1057"/>
      <c r="O243" s="1057"/>
      <c r="P243" s="1057"/>
      <c r="Q243" s="1057"/>
    </row>
    <row r="244" spans="1:17" ht="12.75">
      <c r="A244" s="1057"/>
      <c r="B244" s="1057"/>
      <c r="C244" s="1057"/>
      <c r="D244" s="1057"/>
      <c r="E244" s="1058"/>
      <c r="F244" s="1058"/>
      <c r="G244" s="1058"/>
      <c r="H244" s="1058"/>
      <c r="I244" s="1058"/>
      <c r="J244" s="1058"/>
      <c r="K244" s="1058"/>
      <c r="L244" s="1058"/>
      <c r="M244" s="1058"/>
      <c r="N244" s="1057"/>
      <c r="O244" s="1057"/>
      <c r="P244" s="1057"/>
      <c r="Q244" s="1057"/>
    </row>
    <row r="245" spans="1:17" ht="12.75">
      <c r="A245" s="1057"/>
      <c r="B245" s="1057"/>
      <c r="C245" s="1057"/>
      <c r="D245" s="1057"/>
      <c r="E245" s="1058"/>
      <c r="F245" s="1058"/>
      <c r="G245" s="1058"/>
      <c r="H245" s="1058"/>
      <c r="I245" s="1058"/>
      <c r="J245" s="1058"/>
      <c r="K245" s="1058"/>
      <c r="L245" s="1058"/>
      <c r="M245" s="1058"/>
      <c r="N245" s="1057"/>
      <c r="O245" s="1057"/>
      <c r="P245" s="1057"/>
      <c r="Q245" s="1057"/>
    </row>
    <row r="246" spans="1:17" ht="12.75">
      <c r="A246" s="1057"/>
      <c r="B246" s="1057"/>
      <c r="C246" s="1057"/>
      <c r="D246" s="1057"/>
      <c r="E246" s="1058"/>
      <c r="F246" s="1058"/>
      <c r="G246" s="1058"/>
      <c r="H246" s="1058"/>
      <c r="I246" s="1058"/>
      <c r="J246" s="1058"/>
      <c r="K246" s="1058"/>
      <c r="L246" s="1058"/>
      <c r="M246" s="1058"/>
      <c r="N246" s="1057"/>
      <c r="O246" s="1057"/>
      <c r="P246" s="1057"/>
      <c r="Q246" s="1057"/>
    </row>
    <row r="247" spans="1:17" ht="12.75">
      <c r="A247" s="1057"/>
      <c r="B247" s="1057"/>
      <c r="C247" s="1057"/>
      <c r="D247" s="1057"/>
      <c r="E247" s="1058"/>
      <c r="F247" s="1058"/>
      <c r="G247" s="1058"/>
      <c r="H247" s="1058"/>
      <c r="I247" s="1058"/>
      <c r="J247" s="1058"/>
      <c r="K247" s="1058"/>
      <c r="L247" s="1058"/>
      <c r="M247" s="1058"/>
      <c r="N247" s="1057"/>
      <c r="O247" s="1057"/>
      <c r="P247" s="1057"/>
      <c r="Q247" s="1057"/>
    </row>
    <row r="248" spans="1:17" ht="12.75">
      <c r="A248" s="1057"/>
      <c r="B248" s="1057"/>
      <c r="C248" s="1057"/>
      <c r="D248" s="1057"/>
      <c r="E248" s="1058"/>
      <c r="F248" s="1058"/>
      <c r="G248" s="1058"/>
      <c r="H248" s="1058"/>
      <c r="I248" s="1058"/>
      <c r="J248" s="1058"/>
      <c r="K248" s="1058"/>
      <c r="L248" s="1058"/>
      <c r="M248" s="1058"/>
      <c r="N248" s="1057"/>
      <c r="O248" s="1057"/>
      <c r="P248" s="1057"/>
      <c r="Q248" s="1057"/>
    </row>
    <row r="249" spans="1:17" ht="12.75">
      <c r="A249" s="1057"/>
      <c r="B249" s="1057"/>
      <c r="C249" s="1057"/>
      <c r="D249" s="1057"/>
      <c r="E249" s="1058"/>
      <c r="F249" s="1058"/>
      <c r="G249" s="1058"/>
      <c r="H249" s="1058"/>
      <c r="I249" s="1058"/>
      <c r="J249" s="1058"/>
      <c r="K249" s="1058"/>
      <c r="L249" s="1058"/>
      <c r="M249" s="1058"/>
      <c r="N249" s="1057"/>
      <c r="O249" s="1057"/>
      <c r="P249" s="1057"/>
      <c r="Q249" s="1057"/>
    </row>
    <row r="250" spans="1:17" ht="12.75">
      <c r="A250" s="1057"/>
      <c r="B250" s="1057"/>
      <c r="C250" s="1057"/>
      <c r="D250" s="1057"/>
      <c r="E250" s="1058"/>
      <c r="F250" s="1058"/>
      <c r="G250" s="1058"/>
      <c r="H250" s="1058"/>
      <c r="I250" s="1058"/>
      <c r="J250" s="1058"/>
      <c r="K250" s="1058"/>
      <c r="L250" s="1058"/>
      <c r="M250" s="1058"/>
      <c r="N250" s="1057"/>
      <c r="O250" s="1057"/>
      <c r="P250" s="1057"/>
      <c r="Q250" s="1057"/>
    </row>
    <row r="251" spans="1:17" ht="12.75">
      <c r="A251" s="1057"/>
      <c r="B251" s="1057"/>
      <c r="C251" s="1057"/>
      <c r="D251" s="1057"/>
      <c r="E251" s="1058"/>
      <c r="F251" s="1058"/>
      <c r="G251" s="1058"/>
      <c r="H251" s="1058"/>
      <c r="I251" s="1058"/>
      <c r="J251" s="1058"/>
      <c r="K251" s="1058"/>
      <c r="L251" s="1058"/>
      <c r="M251" s="1058"/>
      <c r="N251" s="1057"/>
      <c r="O251" s="1057"/>
      <c r="P251" s="1057"/>
      <c r="Q251" s="1057"/>
    </row>
    <row r="252" spans="1:17" ht="12.75">
      <c r="A252" s="1057"/>
      <c r="B252" s="1057"/>
      <c r="C252" s="1057"/>
      <c r="D252" s="1057"/>
      <c r="E252" s="1058"/>
      <c r="F252" s="1058"/>
      <c r="G252" s="1058"/>
      <c r="H252" s="1058"/>
      <c r="I252" s="1058"/>
      <c r="J252" s="1058"/>
      <c r="K252" s="1058"/>
      <c r="L252" s="1058"/>
      <c r="M252" s="1058"/>
      <c r="N252" s="1057"/>
      <c r="O252" s="1057"/>
      <c r="P252" s="1057"/>
      <c r="Q252" s="1057"/>
    </row>
    <row r="253" spans="1:17" ht="12.75">
      <c r="A253" s="1057"/>
      <c r="B253" s="1057"/>
      <c r="C253" s="1057"/>
      <c r="D253" s="1057"/>
      <c r="E253" s="1058"/>
      <c r="F253" s="1058"/>
      <c r="G253" s="1058"/>
      <c r="H253" s="1058"/>
      <c r="I253" s="1058"/>
      <c r="J253" s="1058"/>
      <c r="K253" s="1058"/>
      <c r="L253" s="1058"/>
      <c r="M253" s="1058"/>
      <c r="N253" s="1057"/>
      <c r="O253" s="1057"/>
      <c r="P253" s="1057"/>
      <c r="Q253" s="1057"/>
    </row>
    <row r="254" spans="1:17" ht="12.75">
      <c r="A254" s="1057"/>
      <c r="B254" s="1057"/>
      <c r="C254" s="1057"/>
      <c r="D254" s="1057"/>
      <c r="E254" s="1058"/>
      <c r="F254" s="1058"/>
      <c r="G254" s="1058"/>
      <c r="H254" s="1058"/>
      <c r="I254" s="1058"/>
      <c r="J254" s="1058"/>
      <c r="K254" s="1058"/>
      <c r="L254" s="1058"/>
      <c r="M254" s="1058"/>
      <c r="N254" s="1057"/>
      <c r="O254" s="1057"/>
      <c r="P254" s="1057"/>
      <c r="Q254" s="1057"/>
    </row>
    <row r="255" spans="1:17" ht="12.75">
      <c r="A255" s="1057"/>
      <c r="B255" s="1057"/>
      <c r="C255" s="1057"/>
      <c r="D255" s="1057"/>
      <c r="E255" s="1058"/>
      <c r="F255" s="1058"/>
      <c r="G255" s="1058"/>
      <c r="H255" s="1058"/>
      <c r="I255" s="1058"/>
      <c r="J255" s="1058"/>
      <c r="K255" s="1058"/>
      <c r="L255" s="1058"/>
      <c r="M255" s="1058"/>
      <c r="N255" s="1057"/>
      <c r="O255" s="1057"/>
      <c r="P255" s="1057"/>
      <c r="Q255" s="1057"/>
    </row>
    <row r="256" spans="1:17" ht="12.75">
      <c r="A256" s="1057"/>
      <c r="B256" s="1057"/>
      <c r="C256" s="1057"/>
      <c r="D256" s="1057"/>
      <c r="E256" s="1058"/>
      <c r="F256" s="1058"/>
      <c r="G256" s="1058"/>
      <c r="H256" s="1058"/>
      <c r="I256" s="1058"/>
      <c r="J256" s="1058"/>
      <c r="K256" s="1058"/>
      <c r="L256" s="1058"/>
      <c r="M256" s="1058"/>
      <c r="N256" s="1057"/>
      <c r="O256" s="1057"/>
      <c r="P256" s="1057"/>
      <c r="Q256" s="1057"/>
    </row>
  </sheetData>
  <sheetProtection password="81B0" sheet="1"/>
  <mergeCells count="8">
    <mergeCell ref="I11:J11"/>
    <mergeCell ref="I12:J14"/>
    <mergeCell ref="I114:J114"/>
    <mergeCell ref="E114:F114"/>
    <mergeCell ref="G108:H108"/>
    <mergeCell ref="E110:F110"/>
    <mergeCell ref="E17:E18"/>
    <mergeCell ref="F17:F18"/>
  </mergeCells>
  <conditionalFormatting sqref="G107:H107 B107">
    <cfRule type="cellIs" priority="28" dxfId="159" operator="equal" stopIfTrue="1">
      <formula>0</formula>
    </cfRule>
  </conditionalFormatting>
  <conditionalFormatting sqref="I114 E110">
    <cfRule type="cellIs" priority="27" dxfId="146" operator="equal" stopIfTrue="1">
      <formula>0</formula>
    </cfRule>
  </conditionalFormatting>
  <conditionalFormatting sqref="J107">
    <cfRule type="cellIs" priority="26" dxfId="147" operator="equal" stopIfTrue="1">
      <formula>0</formula>
    </cfRule>
  </conditionalFormatting>
  <conditionalFormatting sqref="E114:F114">
    <cfRule type="cellIs" priority="25" dxfId="146" operator="equal" stopIfTrue="1">
      <formula>0</formula>
    </cfRule>
  </conditionalFormatting>
  <conditionalFormatting sqref="F15">
    <cfRule type="cellIs" priority="15" dxfId="153" operator="equal" stopIfTrue="1">
      <formula>"Чужди средства"</formula>
    </cfRule>
    <cfRule type="cellIs" priority="16" dxfId="152" operator="equal" stopIfTrue="1">
      <formula>"СЕС - ДМП"</formula>
    </cfRule>
    <cfRule type="cellIs" priority="17" dxfId="151" operator="equal" stopIfTrue="1">
      <formula>"СЕС - РА"</formula>
    </cfRule>
    <cfRule type="cellIs" priority="18" dxfId="150" operator="equal" stopIfTrue="1">
      <formula>"СЕС - ДЕС"</formula>
    </cfRule>
    <cfRule type="cellIs" priority="19" dxfId="149" operator="equal" stopIfTrue="1">
      <formula>"СЕС - КСФ"</formula>
    </cfRule>
  </conditionalFormatting>
  <conditionalFormatting sqref="B105">
    <cfRule type="cellIs" priority="14" dxfId="143" operator="notEqual" stopIfTrue="1">
      <formula>0</formula>
    </cfRule>
  </conditionalFormatting>
  <conditionalFormatting sqref="E15">
    <cfRule type="cellIs" priority="1" dxfId="153" operator="equal" stopIfTrue="1">
      <formula>"Чужди средства"</formula>
    </cfRule>
    <cfRule type="cellIs" priority="2" dxfId="152" operator="equal" stopIfTrue="1">
      <formula>"СЕС - ДМП"</formula>
    </cfRule>
    <cfRule type="cellIs" priority="3" dxfId="151" operator="equal" stopIfTrue="1">
      <formula>"СЕС - РА"</formula>
    </cfRule>
    <cfRule type="cellIs" priority="4" dxfId="150" operator="equal" stopIfTrue="1">
      <formula>"СЕС - ДЕС"</formula>
    </cfRule>
    <cfRule type="cellIs" priority="5" dxfId="149" operator="equal" stopIfTrue="1">
      <formula>"СЕС - КСФ"</formula>
    </cfRule>
  </conditionalFormatting>
  <conditionalFormatting sqref="E65:J65">
    <cfRule type="cellIs" priority="44" dxfId="154" operator="notEqual" stopIfTrue="1">
      <formula>0</formula>
    </cfRule>
  </conditionalFormatting>
  <conditionalFormatting sqref="E105:J105">
    <cfRule type="cellIs" priority="30" dxfId="154" operator="notEqual" stopIfTrue="1">
      <formula>0</formula>
    </cfRule>
  </conditionalFormatting>
  <conditionalFormatting sqref="I11:J11">
    <cfRule type="cellIs" priority="6" dxfId="155" operator="between" stopIfTrue="1">
      <formula>1000000000000</formula>
      <formula>9999999999999990</formula>
    </cfRule>
    <cfRule type="cellIs" priority="7" dxfId="156" operator="between" stopIfTrue="1">
      <formula>10000000000</formula>
      <formula>999999999999</formula>
    </cfRule>
    <cfRule type="cellIs" priority="8" dxfId="157" operator="between" stopIfTrue="1">
      <formula>1000000</formula>
      <formula>99999999</formula>
    </cfRule>
    <cfRule type="cellIs" priority="9" dxfId="158"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90:M90">
      <formula1>0</formula1>
    </dataValidation>
    <dataValidation type="whole" operator="lessThanOrEqual" allowBlank="1" showInputMessage="1" showErrorMessage="1" sqref="K91:M91">
      <formula1>0</formula1>
    </dataValidation>
    <dataValidation type="whole" allowBlank="1" showInputMessage="1" showErrorMessage="1" error="въведете цяло число" sqref="E92:E96 G92:J96 E55:E89 E22:E32 G55:J89 K69:M76 G22:J32 E105:J105 E34:E53 F22:F96 G34:J53">
      <formula1>-10000000000000000</formula1>
      <formula2>10000000000000000</formula2>
    </dataValidation>
    <dataValidation type="whole" operator="greaterThanOrEqual" allowBlank="1" showInputMessage="1" showErrorMessage="1" error="въведете цяло положително число" sqref="E90 G90:J90">
      <formula1>0</formula1>
    </dataValidation>
    <dataValidation type="whole" operator="lessThanOrEqual" allowBlank="1" showInputMessage="1" showErrorMessage="1" error="въведете цяло отрицателно число" sqref="E91 G91:J91">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4 G54:J54">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verticalCentered="1"/>
  <pageMargins left="0.15748031496062992" right="0.15748031496062992" top="0.2362204724409449" bottom="0.2362204724409449" header="0.15748031496062992" footer="0.15748031496062992"/>
  <pageSetup horizontalDpi="600" verticalDpi="600" orientation="landscape" paperSize="9" scale="56" r:id="rId3"/>
  <rowBreaks count="1" manualBreakCount="1">
    <brk id="55"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M191">
      <selection activeCell="L191" sqref="A1:L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2" width="17.125" style="43" hidden="1" customWidth="1"/>
    <col min="13" max="15" width="17.125" style="43" customWidth="1"/>
    <col min="16" max="16384" width="9.125" style="43" customWidth="1"/>
  </cols>
  <sheetData>
    <row r="1" spans="1:11" ht="18" customHeight="1" hidden="1">
      <c r="A1" s="43" t="s">
        <v>596</v>
      </c>
      <c r="B1" s="44" t="s">
        <v>597</v>
      </c>
      <c r="C1" s="44" t="s">
        <v>598</v>
      </c>
      <c r="D1" s="45" t="s">
        <v>599</v>
      </c>
      <c r="E1" s="44" t="s">
        <v>600</v>
      </c>
      <c r="F1" s="44" t="s">
        <v>601</v>
      </c>
      <c r="G1" s="46" t="s">
        <v>1403</v>
      </c>
      <c r="H1" s="43" t="s">
        <v>603</v>
      </c>
      <c r="I1" s="43" t="s">
        <v>603</v>
      </c>
      <c r="J1" s="43" t="s">
        <v>603</v>
      </c>
      <c r="K1" s="46" t="s">
        <v>1367</v>
      </c>
    </row>
    <row r="2" ht="18" customHeight="1">
      <c r="K2" s="46">
        <v>1</v>
      </c>
    </row>
    <row r="3" spans="5:11" ht="21">
      <c r="E3" s="47"/>
      <c r="K3" s="180">
        <v>1</v>
      </c>
    </row>
    <row r="4" spans="5:11" ht="21">
      <c r="E4" s="48"/>
      <c r="K4" s="180">
        <v>1</v>
      </c>
    </row>
    <row r="5" spans="5:11" ht="21">
      <c r="E5" s="44" t="s">
        <v>982</v>
      </c>
      <c r="F5" s="44" t="s">
        <v>982</v>
      </c>
      <c r="K5" s="180">
        <v>1</v>
      </c>
    </row>
    <row r="6" spans="3:11" ht="21">
      <c r="C6" s="49"/>
      <c r="D6" s="50"/>
      <c r="E6" s="48"/>
      <c r="F6" s="44" t="s">
        <v>982</v>
      </c>
      <c r="K6" s="180">
        <v>1</v>
      </c>
    </row>
    <row r="7" spans="2:11" ht="42" customHeight="1">
      <c r="B7" s="2116" t="str">
        <f>OTCHET!B7</f>
        <v>ОТЧЕТНИ ДАННИ ПО ЕБК ЗА ИЗПЪЛНЕНИЕТО НА БЮДЖЕТА</v>
      </c>
      <c r="C7" s="2117"/>
      <c r="D7" s="2117"/>
      <c r="F7" s="51"/>
      <c r="K7" s="180">
        <v>1</v>
      </c>
    </row>
    <row r="8" spans="3:11" ht="21">
      <c r="C8" s="49"/>
      <c r="D8" s="50"/>
      <c r="E8" s="51" t="s">
        <v>983</v>
      </c>
      <c r="F8" s="51" t="s">
        <v>889</v>
      </c>
      <c r="K8" s="180">
        <v>1</v>
      </c>
    </row>
    <row r="9" spans="2:11" ht="36.75" customHeight="1" thickBot="1">
      <c r="B9" s="2118" t="str">
        <f>OTCHET!B9</f>
        <v>КОМИСИЯ ЗА РЕГУЛИРАНЕ НА СЪОБЩЕНИЯТА</v>
      </c>
      <c r="C9" s="2119"/>
      <c r="D9" s="2119"/>
      <c r="E9" s="52">
        <f>OTCHET!$E9</f>
        <v>43101</v>
      </c>
      <c r="F9" s="53">
        <f>OTCHET!$F9</f>
        <v>43190</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18" t="str">
        <f>OTCHET!B12</f>
        <v>Комисия за регулиране на съобщенията</v>
      </c>
      <c r="C12" s="2119"/>
      <c r="D12" s="2119"/>
      <c r="E12" s="51" t="s">
        <v>984</v>
      </c>
      <c r="F12" s="56" t="str">
        <f>OTCHET!$F12</f>
        <v>4300</v>
      </c>
      <c r="K12" s="180">
        <v>1</v>
      </c>
    </row>
    <row r="13" spans="2:11" ht="21.75" thickTop="1">
      <c r="B13" s="6" t="str">
        <f>OTCHET!B13</f>
        <v>                                             (наименование на първостепенния разпоредител с бюджет)</v>
      </c>
      <c r="E13" s="57" t="s">
        <v>985</v>
      </c>
      <c r="F13" s="58" t="s">
        <v>982</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986</v>
      </c>
      <c r="K18" s="180">
        <v>1</v>
      </c>
    </row>
    <row r="19" spans="1:11" ht="21.75" thickBot="1">
      <c r="A19" s="59"/>
      <c r="B19" s="60"/>
      <c r="C19" s="2124" t="s">
        <v>987</v>
      </c>
      <c r="D19" s="2125"/>
      <c r="E19" s="61" t="s">
        <v>988</v>
      </c>
      <c r="F19" s="287" t="s">
        <v>989</v>
      </c>
      <c r="G19" s="203"/>
      <c r="H19" s="203"/>
      <c r="I19" s="203"/>
      <c r="J19" s="65"/>
      <c r="K19" s="180">
        <v>1</v>
      </c>
    </row>
    <row r="20" spans="2:11" ht="45.75" thickBot="1">
      <c r="B20" s="62" t="s">
        <v>937</v>
      </c>
      <c r="C20" s="2126" t="s">
        <v>1368</v>
      </c>
      <c r="D20" s="2127"/>
      <c r="E20" s="63">
        <v>2017</v>
      </c>
      <c r="F20" s="174" t="s">
        <v>1351</v>
      </c>
      <c r="G20" s="174" t="s">
        <v>1401</v>
      </c>
      <c r="H20" s="174" t="s">
        <v>1402</v>
      </c>
      <c r="I20" s="288" t="s">
        <v>1230</v>
      </c>
      <c r="J20" s="289" t="s">
        <v>1231</v>
      </c>
      <c r="K20" s="181">
        <v>1</v>
      </c>
    </row>
    <row r="21" spans="2:11" ht="21.75" thickBot="1">
      <c r="B21" s="64"/>
      <c r="C21" s="2206" t="s">
        <v>991</v>
      </c>
      <c r="D21" s="2161"/>
      <c r="E21" s="16" t="s">
        <v>604</v>
      </c>
      <c r="F21" s="16" t="s">
        <v>605</v>
      </c>
      <c r="G21" s="16" t="s">
        <v>1365</v>
      </c>
      <c r="H21" s="210" t="s">
        <v>1366</v>
      </c>
      <c r="I21" s="16" t="s">
        <v>1339</v>
      </c>
      <c r="J21" s="210" t="s">
        <v>1232</v>
      </c>
      <c r="K21" s="181">
        <v>1</v>
      </c>
    </row>
    <row r="22" spans="1:11" s="66" customFormat="1" ht="21">
      <c r="A22" s="66">
        <v>5</v>
      </c>
      <c r="B22" s="67">
        <v>100</v>
      </c>
      <c r="C22" s="2120" t="s">
        <v>992</v>
      </c>
      <c r="D22" s="2121"/>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114" t="s">
        <v>994</v>
      </c>
      <c r="D23" s="2115"/>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22" t="s">
        <v>999</v>
      </c>
      <c r="D24" s="2123"/>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114" t="s">
        <v>1228</v>
      </c>
      <c r="D25" s="2115"/>
      <c r="E25" s="185">
        <f>OTCHET!$E39</f>
        <v>0</v>
      </c>
      <c r="F25" s="185">
        <f>OTCHET!$F39</f>
        <v>0</v>
      </c>
      <c r="G25" s="71">
        <f>OTCHET!$G39</f>
        <v>0</v>
      </c>
      <c r="H25" s="71">
        <f>OTCHET!$H39</f>
        <v>0</v>
      </c>
      <c r="I25" s="71">
        <f>OTCHET!$I39</f>
        <v>0</v>
      </c>
      <c r="J25" s="71">
        <f>OTCHET!$J39</f>
        <v>0</v>
      </c>
      <c r="K25" s="176">
        <f t="shared" si="0"/>
      </c>
    </row>
    <row r="26" spans="1:11" s="69" customFormat="1" ht="21">
      <c r="A26" s="69">
        <v>95</v>
      </c>
      <c r="B26" s="70">
        <v>1000</v>
      </c>
      <c r="C26" s="2114" t="s">
        <v>1007</v>
      </c>
      <c r="D26" s="2115"/>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114" t="s">
        <v>1369</v>
      </c>
      <c r="D27" s="2115"/>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114" t="s">
        <v>2192</v>
      </c>
      <c r="D28" s="2115"/>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114" t="s">
        <v>2195</v>
      </c>
      <c r="D29" s="2115"/>
      <c r="E29" s="185">
        <f>OTCHET!$E61</f>
        <v>0</v>
      </c>
      <c r="F29" s="185">
        <f>OTCHET!$F61</f>
        <v>0</v>
      </c>
      <c r="G29" s="71">
        <f>OTCHET!$G61</f>
        <v>0</v>
      </c>
      <c r="H29" s="71">
        <f>OTCHET!$H61</f>
        <v>0</v>
      </c>
      <c r="I29" s="71">
        <f>OTCHET!$I61</f>
        <v>0</v>
      </c>
      <c r="J29" s="71">
        <f>OTCHET!$J61</f>
        <v>0</v>
      </c>
      <c r="K29" s="176">
        <f t="shared" si="0"/>
      </c>
    </row>
    <row r="30" spans="2:11" s="69" customFormat="1" ht="21">
      <c r="B30" s="70">
        <v>1600</v>
      </c>
      <c r="C30" s="2114" t="s">
        <v>2198</v>
      </c>
      <c r="D30" s="2115"/>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114" t="s">
        <v>2199</v>
      </c>
      <c r="D31" s="2115"/>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114" t="s">
        <v>2205</v>
      </c>
      <c r="D32" s="2115"/>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114" t="s">
        <v>2206</v>
      </c>
      <c r="D33" s="2115"/>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114" t="s">
        <v>2207</v>
      </c>
      <c r="D34" s="2115"/>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114" t="s">
        <v>2208</v>
      </c>
      <c r="D35" s="2115"/>
      <c r="E35" s="185">
        <f>OTCHET!$E75</f>
        <v>0</v>
      </c>
      <c r="F35" s="185">
        <f>OTCHET!$F75</f>
        <v>0</v>
      </c>
      <c r="G35" s="71">
        <f>OTCHET!$G75</f>
        <v>0</v>
      </c>
      <c r="H35" s="71">
        <f>OTCHET!$H75</f>
        <v>0</v>
      </c>
      <c r="I35" s="71">
        <f>OTCHET!$I75</f>
        <v>0</v>
      </c>
      <c r="J35" s="71">
        <f>OTCHET!$J75</f>
        <v>0</v>
      </c>
      <c r="K35" s="176">
        <f t="shared" si="0"/>
      </c>
    </row>
    <row r="36" spans="1:11" s="69" customFormat="1" ht="21">
      <c r="A36" s="74">
        <v>350</v>
      </c>
      <c r="B36" s="75">
        <v>2500</v>
      </c>
      <c r="C36" s="2128" t="s">
        <v>2223</v>
      </c>
      <c r="D36" s="2129"/>
      <c r="E36" s="185">
        <f>OTCHET!$E91</f>
        <v>62950000</v>
      </c>
      <c r="F36" s="185">
        <f>OTCHET!$F91</f>
        <v>43785780</v>
      </c>
      <c r="G36" s="71">
        <f>OTCHET!$G91</f>
        <v>43699714</v>
      </c>
      <c r="H36" s="71">
        <f>OTCHET!$H91</f>
        <v>0</v>
      </c>
      <c r="I36" s="71">
        <f>OTCHET!$I91</f>
        <v>4792</v>
      </c>
      <c r="J36" s="71">
        <f>OTCHET!$J91</f>
        <v>81274</v>
      </c>
      <c r="K36" s="176">
        <f t="shared" si="0"/>
        <v>1</v>
      </c>
    </row>
    <row r="37" spans="1:11" s="69" customFormat="1" ht="21">
      <c r="A37" s="76">
        <v>360</v>
      </c>
      <c r="B37" s="70">
        <v>2600</v>
      </c>
      <c r="C37" s="2128" t="s">
        <v>649</v>
      </c>
      <c r="D37" s="2129"/>
      <c r="E37" s="185">
        <f>OTCHET!$E94</f>
        <v>0</v>
      </c>
      <c r="F37" s="185">
        <f>OTCHET!$F94</f>
        <v>0</v>
      </c>
      <c r="G37" s="71">
        <f>OTCHET!$G94</f>
        <v>0</v>
      </c>
      <c r="H37" s="71">
        <f>OTCHET!$H94</f>
        <v>0</v>
      </c>
      <c r="I37" s="71">
        <f>OTCHET!$I94</f>
        <v>0</v>
      </c>
      <c r="J37" s="71">
        <f>OTCHET!$J94</f>
        <v>0</v>
      </c>
      <c r="K37" s="176">
        <f t="shared" si="0"/>
      </c>
    </row>
    <row r="38" spans="1:11" s="69" customFormat="1" ht="21">
      <c r="A38" s="76">
        <v>370</v>
      </c>
      <c r="B38" s="70">
        <v>2700</v>
      </c>
      <c r="C38" s="2114" t="s">
        <v>650</v>
      </c>
      <c r="D38" s="2115"/>
      <c r="E38" s="185">
        <f>OTCHET!$E95</f>
        <v>0</v>
      </c>
      <c r="F38" s="185">
        <f>OTCHET!$F95</f>
        <v>0</v>
      </c>
      <c r="G38" s="71">
        <f>OTCHET!$G95</f>
        <v>0</v>
      </c>
      <c r="H38" s="71">
        <f>OTCHET!$H95</f>
        <v>0</v>
      </c>
      <c r="I38" s="71">
        <f>OTCHET!$I95</f>
        <v>0</v>
      </c>
      <c r="J38" s="71">
        <f>OTCHET!$J95</f>
        <v>0</v>
      </c>
      <c r="K38" s="176">
        <f t="shared" si="0"/>
      </c>
    </row>
    <row r="39" spans="1:11" s="69" customFormat="1" ht="21">
      <c r="A39" s="76">
        <v>445</v>
      </c>
      <c r="B39" s="70">
        <v>2800</v>
      </c>
      <c r="C39" s="2114" t="s">
        <v>2239</v>
      </c>
      <c r="D39" s="2115"/>
      <c r="E39" s="185">
        <f>OTCHET!$E109</f>
        <v>250000</v>
      </c>
      <c r="F39" s="185">
        <f>OTCHET!$F109</f>
        <v>250051</v>
      </c>
      <c r="G39" s="71">
        <f>OTCHET!$G109</f>
        <v>246118</v>
      </c>
      <c r="H39" s="71">
        <f>OTCHET!$H109</f>
        <v>0</v>
      </c>
      <c r="I39" s="71">
        <f>OTCHET!$I109</f>
        <v>14</v>
      </c>
      <c r="J39" s="71">
        <f>OTCHET!$J109</f>
        <v>3919</v>
      </c>
      <c r="K39" s="176">
        <f t="shared" si="0"/>
        <v>1</v>
      </c>
    </row>
    <row r="40" spans="1:11" s="69" customFormat="1" ht="21">
      <c r="A40" s="76">
        <v>470</v>
      </c>
      <c r="B40" s="70">
        <v>3600</v>
      </c>
      <c r="C40" s="2114" t="s">
        <v>767</v>
      </c>
      <c r="D40" s="2115"/>
      <c r="E40" s="185">
        <f>OTCHET!$E113</f>
        <v>0</v>
      </c>
      <c r="F40" s="185">
        <f>OTCHET!$F113</f>
        <v>-45465</v>
      </c>
      <c r="G40" s="71">
        <f>OTCHET!$G113</f>
        <v>1800</v>
      </c>
      <c r="H40" s="71">
        <f>OTCHET!$H113</f>
        <v>0</v>
      </c>
      <c r="I40" s="71">
        <f>OTCHET!$I113</f>
        <v>0</v>
      </c>
      <c r="J40" s="71">
        <f>OTCHET!$J113</f>
        <v>-47265</v>
      </c>
      <c r="K40" s="176">
        <f t="shared" si="0"/>
        <v>1</v>
      </c>
    </row>
    <row r="41" spans="1:11" s="69" customFormat="1" ht="21">
      <c r="A41" s="76">
        <v>495</v>
      </c>
      <c r="B41" s="70">
        <v>3700</v>
      </c>
      <c r="C41" s="2114" t="s">
        <v>772</v>
      </c>
      <c r="D41" s="2115"/>
      <c r="E41" s="185">
        <f>OTCHET!$E122</f>
        <v>0</v>
      </c>
      <c r="F41" s="185">
        <f>OTCHET!$F122</f>
        <v>0</v>
      </c>
      <c r="G41" s="71">
        <f>OTCHET!$G122</f>
        <v>0</v>
      </c>
      <c r="H41" s="71">
        <f>OTCHET!$H122</f>
        <v>0</v>
      </c>
      <c r="I41" s="71">
        <f>OTCHET!$I122</f>
        <v>0</v>
      </c>
      <c r="J41" s="71">
        <f>OTCHET!$J122</f>
        <v>0</v>
      </c>
      <c r="K41" s="176">
        <f t="shared" si="0"/>
      </c>
    </row>
    <row r="42" spans="1:31" s="80" customFormat="1" ht="21.75" thickBot="1">
      <c r="A42" s="77">
        <v>515</v>
      </c>
      <c r="B42" s="70">
        <v>4000</v>
      </c>
      <c r="C42" s="78" t="s">
        <v>776</v>
      </c>
      <c r="D42" s="186"/>
      <c r="E42" s="185">
        <f>OTCHET!$E126</f>
        <v>0</v>
      </c>
      <c r="F42" s="185">
        <f>OTCHET!$F126</f>
        <v>0</v>
      </c>
      <c r="G42" s="71">
        <f>OTCHET!$G126</f>
        <v>0</v>
      </c>
      <c r="H42" s="71">
        <f>OTCHET!$H126</f>
        <v>0</v>
      </c>
      <c r="I42" s="71">
        <f>OTCHET!$I126</f>
        <v>0</v>
      </c>
      <c r="J42" s="71">
        <f>OTCHET!$J126</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114" t="s">
        <v>751</v>
      </c>
      <c r="D43" s="2115"/>
      <c r="E43" s="185">
        <f>OTCHET!$E138</f>
        <v>0</v>
      </c>
      <c r="F43" s="185">
        <f>OTCHET!$F138</f>
        <v>0</v>
      </c>
      <c r="G43" s="71">
        <f>OTCHET!$G138</f>
        <v>0</v>
      </c>
      <c r="H43" s="71">
        <f>OTCHET!$H138</f>
        <v>0</v>
      </c>
      <c r="I43" s="71">
        <f>OTCHET!$I138</f>
        <v>0</v>
      </c>
      <c r="J43" s="71">
        <f>OTCHET!$J138</f>
        <v>0</v>
      </c>
      <c r="K43" s="176">
        <f t="shared" si="0"/>
      </c>
      <c r="L43" s="82"/>
    </row>
    <row r="44" spans="1:12" s="69" customFormat="1" ht="21">
      <c r="A44" s="76">
        <v>550</v>
      </c>
      <c r="B44" s="70">
        <v>4200</v>
      </c>
      <c r="C44" s="2114" t="s">
        <v>752</v>
      </c>
      <c r="D44" s="2115"/>
      <c r="E44" s="185">
        <f>OTCHET!$E139</f>
        <v>0</v>
      </c>
      <c r="F44" s="185">
        <f>OTCHET!$F139</f>
        <v>0</v>
      </c>
      <c r="G44" s="71">
        <f>OTCHET!$G139</f>
        <v>0</v>
      </c>
      <c r="H44" s="71">
        <f>OTCHET!$H139</f>
        <v>0</v>
      </c>
      <c r="I44" s="71">
        <f>OTCHET!$I139</f>
        <v>0</v>
      </c>
      <c r="J44" s="71">
        <f>OTCHET!$J139</f>
        <v>0</v>
      </c>
      <c r="K44" s="176">
        <f t="shared" si="0"/>
      </c>
      <c r="L44" s="82"/>
    </row>
    <row r="45" spans="1:12" s="69" customFormat="1" ht="21">
      <c r="A45" s="76">
        <v>560</v>
      </c>
      <c r="B45" s="70" t="s">
        <v>753</v>
      </c>
      <c r="C45" s="2114" t="s">
        <v>1549</v>
      </c>
      <c r="D45" s="2115"/>
      <c r="E45" s="185">
        <f>OTCHET!$E140</f>
        <v>0</v>
      </c>
      <c r="F45" s="185">
        <f>OTCHET!$F140</f>
        <v>0</v>
      </c>
      <c r="G45" s="71">
        <f>OTCHET!$G140</f>
        <v>0</v>
      </c>
      <c r="H45" s="71">
        <f>OTCHET!$H140</f>
        <v>0</v>
      </c>
      <c r="I45" s="71">
        <f>OTCHET!$I140</f>
        <v>0</v>
      </c>
      <c r="J45" s="71">
        <f>OTCHET!$J140</f>
        <v>0</v>
      </c>
      <c r="K45" s="176">
        <f t="shared" si="0"/>
      </c>
      <c r="L45" s="82"/>
    </row>
    <row r="46" spans="1:11" s="69" customFormat="1" ht="21">
      <c r="A46" s="76">
        <v>575</v>
      </c>
      <c r="B46" s="70">
        <v>4600</v>
      </c>
      <c r="C46" s="2114" t="s">
        <v>1552</v>
      </c>
      <c r="D46" s="2115"/>
      <c r="E46" s="189">
        <f>OTCHET!$E143</f>
        <v>0</v>
      </c>
      <c r="F46" s="189">
        <f>OTCHET!$F143</f>
        <v>0</v>
      </c>
      <c r="G46" s="112">
        <f>OTCHET!$G143</f>
        <v>0</v>
      </c>
      <c r="H46" s="112">
        <f>OTCHET!$H143</f>
        <v>0</v>
      </c>
      <c r="I46" s="112">
        <f>OTCHET!$I143</f>
        <v>0</v>
      </c>
      <c r="J46" s="112">
        <f>OTCHET!$J143</f>
        <v>0</v>
      </c>
      <c r="K46" s="176">
        <f t="shared" si="0"/>
      </c>
    </row>
    <row r="47" spans="1:11" s="69" customFormat="1" ht="21">
      <c r="A47" s="76">
        <v>575</v>
      </c>
      <c r="B47" s="70">
        <v>4700</v>
      </c>
      <c r="C47" s="2114" t="s">
        <v>2100</v>
      </c>
      <c r="D47" s="2115"/>
      <c r="E47" s="185">
        <f>OTCHET!$E946</f>
        <v>0</v>
      </c>
      <c r="F47" s="185">
        <f>OTCHET!$F152</f>
        <v>0</v>
      </c>
      <c r="G47" s="71">
        <f>OTCHET!$G152</f>
        <v>0</v>
      </c>
      <c r="H47" s="71">
        <f>OTCHET!$H152</f>
        <v>0</v>
      </c>
      <c r="I47" s="71">
        <f>OTCHET!$I152</f>
        <v>0</v>
      </c>
      <c r="J47" s="71">
        <f>OTCHET!$J152</f>
        <v>0</v>
      </c>
      <c r="K47" s="176">
        <f t="shared" si="0"/>
      </c>
    </row>
    <row r="48" spans="1:11" s="69" customFormat="1" ht="21.75" thickBot="1">
      <c r="A48" s="76">
        <v>575</v>
      </c>
      <c r="B48" s="70">
        <v>4800</v>
      </c>
      <c r="C48" s="2130" t="s">
        <v>1998</v>
      </c>
      <c r="D48" s="2131"/>
      <c r="E48" s="234">
        <f>OTCHET!$E161</f>
        <v>0</v>
      </c>
      <c r="F48" s="234">
        <f>OTCHET!$F161</f>
        <v>0</v>
      </c>
      <c r="G48" s="235">
        <f>OTCHET!$G161</f>
        <v>0</v>
      </c>
      <c r="H48" s="235">
        <f>OTCHET!$H161</f>
        <v>0</v>
      </c>
      <c r="I48" s="235">
        <f>OTCHET!$I161</f>
        <v>0</v>
      </c>
      <c r="J48" s="235">
        <f>OTCHET!$J161</f>
        <v>0</v>
      </c>
      <c r="K48" s="176">
        <f t="shared" si="0"/>
      </c>
    </row>
    <row r="49" spans="1:12" s="59" customFormat="1" ht="21.75" thickBot="1">
      <c r="A49" s="83">
        <v>620</v>
      </c>
      <c r="B49" s="84"/>
      <c r="C49" s="85"/>
      <c r="D49" s="187" t="s">
        <v>755</v>
      </c>
      <c r="E49" s="86">
        <f>OTCHET!$E170</f>
        <v>63200000</v>
      </c>
      <c r="F49" s="86">
        <f>OTCHET!$F170</f>
        <v>43990366</v>
      </c>
      <c r="G49" s="86">
        <f>OTCHET!$G170</f>
        <v>43947632</v>
      </c>
      <c r="H49" s="86">
        <f>OTCHET!$H170</f>
        <v>0</v>
      </c>
      <c r="I49" s="86">
        <f>OTCHET!$I170</f>
        <v>4806</v>
      </c>
      <c r="J49" s="86">
        <f>OTCHET!$J170</f>
        <v>37928</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132" t="str">
        <f>$B$7</f>
        <v>ОТЧЕТНИ ДАННИ ПО ЕБК ЗА ИЗПЪЛНЕНИЕТО НА БЮДЖЕТА</v>
      </c>
      <c r="C54" s="2133"/>
      <c r="D54" s="2133"/>
      <c r="E54" s="92"/>
      <c r="F54" s="92"/>
      <c r="G54" s="43"/>
      <c r="H54" s="87"/>
      <c r="I54" s="87"/>
      <c r="J54" s="87"/>
      <c r="K54" s="182">
        <v>1</v>
      </c>
      <c r="L54" s="87"/>
    </row>
    <row r="55" spans="2:12" s="59" customFormat="1" ht="21">
      <c r="B55" s="44"/>
      <c r="C55" s="49"/>
      <c r="D55" s="50"/>
      <c r="E55" s="93" t="s">
        <v>983</v>
      </c>
      <c r="F55" s="93" t="s">
        <v>889</v>
      </c>
      <c r="G55" s="43"/>
      <c r="H55" s="87"/>
      <c r="I55" s="87"/>
      <c r="J55" s="87"/>
      <c r="K55" s="182">
        <v>1</v>
      </c>
      <c r="L55" s="87"/>
    </row>
    <row r="56" spans="2:12" s="59" customFormat="1" ht="38.25" customHeight="1" thickBot="1">
      <c r="B56" s="2134" t="str">
        <f>$B$9</f>
        <v>КОМИСИЯ ЗА РЕГУЛИРАНЕ НА СЪОБЩЕНИЯТА</v>
      </c>
      <c r="C56" s="2135"/>
      <c r="D56" s="2135"/>
      <c r="E56" s="95">
        <f>$E$9</f>
        <v>43101</v>
      </c>
      <c r="F56" s="96">
        <f>$F$9</f>
        <v>43190</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134" t="str">
        <f>$B$12</f>
        <v>Комисия за регулиране на съобщенията</v>
      </c>
      <c r="C59" s="2135"/>
      <c r="D59" s="2135"/>
      <c r="E59" s="92" t="s">
        <v>984</v>
      </c>
      <c r="F59" s="99" t="str">
        <f>$F$12</f>
        <v>4300</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985</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986</v>
      </c>
      <c r="K62" s="182">
        <v>1</v>
      </c>
      <c r="L62" s="87"/>
    </row>
    <row r="63" spans="2:15" s="59" customFormat="1" ht="21" customHeight="1" thickBot="1">
      <c r="B63" s="100"/>
      <c r="C63" s="2146" t="s">
        <v>924</v>
      </c>
      <c r="D63" s="2147"/>
      <c r="E63" s="61" t="s">
        <v>988</v>
      </c>
      <c r="F63" s="287" t="s">
        <v>989</v>
      </c>
      <c r="G63" s="203"/>
      <c r="H63" s="203"/>
      <c r="I63" s="203"/>
      <c r="J63" s="65"/>
      <c r="K63" s="182">
        <v>1</v>
      </c>
      <c r="L63" s="2136" t="s">
        <v>2130</v>
      </c>
      <c r="M63" s="2136" t="s">
        <v>2131</v>
      </c>
      <c r="N63" s="2136" t="s">
        <v>2132</v>
      </c>
      <c r="O63" s="2136" t="s">
        <v>2133</v>
      </c>
    </row>
    <row r="64" spans="2:15" s="59" customFormat="1" ht="49.5" customHeight="1" thickBot="1">
      <c r="B64" s="100" t="s">
        <v>937</v>
      </c>
      <c r="C64" s="2126" t="s">
        <v>1370</v>
      </c>
      <c r="D64" s="2143"/>
      <c r="E64" s="63">
        <v>2017</v>
      </c>
      <c r="F64" s="174" t="s">
        <v>1351</v>
      </c>
      <c r="G64" s="174" t="s">
        <v>1401</v>
      </c>
      <c r="H64" s="174" t="s">
        <v>1402</v>
      </c>
      <c r="I64" s="288" t="s">
        <v>1230</v>
      </c>
      <c r="J64" s="289" t="s">
        <v>1231</v>
      </c>
      <c r="K64" s="182">
        <v>1</v>
      </c>
      <c r="L64" s="2137"/>
      <c r="M64" s="2137"/>
      <c r="N64" s="2139"/>
      <c r="O64" s="2139"/>
    </row>
    <row r="65" spans="2:15" s="59" customFormat="1" ht="21.75" thickBot="1">
      <c r="B65" s="101"/>
      <c r="C65" s="2144" t="s">
        <v>757</v>
      </c>
      <c r="D65" s="2145"/>
      <c r="E65" s="16" t="s">
        <v>604</v>
      </c>
      <c r="F65" s="16" t="s">
        <v>605</v>
      </c>
      <c r="G65" s="16" t="s">
        <v>1365</v>
      </c>
      <c r="H65" s="210" t="s">
        <v>1366</v>
      </c>
      <c r="I65" s="16" t="s">
        <v>1339</v>
      </c>
      <c r="J65" s="210" t="s">
        <v>1232</v>
      </c>
      <c r="K65" s="182">
        <v>1</v>
      </c>
      <c r="L65" s="2138"/>
      <c r="M65" s="2138"/>
      <c r="N65" s="2140"/>
      <c r="O65" s="2140"/>
    </row>
    <row r="66" spans="1:15" s="69" customFormat="1" ht="34.5" customHeight="1">
      <c r="A66" s="76">
        <v>5</v>
      </c>
      <c r="B66" s="67">
        <v>100</v>
      </c>
      <c r="C66" s="2150" t="s">
        <v>758</v>
      </c>
      <c r="D66" s="2151"/>
      <c r="E66" s="184">
        <f>OTCHET!$E188</f>
        <v>4465000</v>
      </c>
      <c r="F66" s="184">
        <f>OTCHET!$F188</f>
        <v>1014708</v>
      </c>
      <c r="G66" s="68">
        <f>OTCHET!$G188</f>
        <v>899651</v>
      </c>
      <c r="H66" s="68">
        <f>OTCHET!$H188</f>
        <v>0</v>
      </c>
      <c r="I66" s="68">
        <f>OTCHET!$I188</f>
        <v>0</v>
      </c>
      <c r="J66" s="68">
        <f>OTCHET!$J188</f>
        <v>115057</v>
      </c>
      <c r="K66" s="176">
        <f aca="true" t="shared" si="1" ref="K66:K95">(IF(E66&lt;&gt;0,$K$2,IF(F66&lt;&gt;0,$K$2,"")))</f>
        <v>1</v>
      </c>
      <c r="L66" s="102"/>
      <c r="M66" s="204"/>
      <c r="N66" s="102"/>
      <c r="O66" s="103"/>
    </row>
    <row r="67" spans="1:15" s="69" customFormat="1" ht="21">
      <c r="A67" s="76">
        <v>35</v>
      </c>
      <c r="B67" s="70">
        <v>200</v>
      </c>
      <c r="C67" s="2128" t="s">
        <v>761</v>
      </c>
      <c r="D67" s="2129"/>
      <c r="E67" s="185">
        <f>OTCHET!$E191</f>
        <v>372000</v>
      </c>
      <c r="F67" s="185">
        <f>OTCHET!$F191</f>
        <v>62138</v>
      </c>
      <c r="G67" s="71">
        <f>OTCHET!$G191</f>
        <v>60028</v>
      </c>
      <c r="H67" s="71">
        <f>OTCHET!$H191</f>
        <v>0</v>
      </c>
      <c r="I67" s="71">
        <f>OTCHET!$I191</f>
        <v>0</v>
      </c>
      <c r="J67" s="71">
        <f>OTCHET!$J191</f>
        <v>2110</v>
      </c>
      <c r="K67" s="176">
        <f t="shared" si="1"/>
        <v>1</v>
      </c>
      <c r="L67" s="104"/>
      <c r="M67" s="205"/>
      <c r="N67" s="104"/>
      <c r="O67" s="105"/>
    </row>
    <row r="68" spans="1:15" s="69" customFormat="1" ht="21">
      <c r="A68" s="76">
        <v>65</v>
      </c>
      <c r="B68" s="70">
        <v>500</v>
      </c>
      <c r="C68" s="2114" t="s">
        <v>835</v>
      </c>
      <c r="D68" s="2115"/>
      <c r="E68" s="185">
        <f>OTCHET!$E197</f>
        <v>1193000</v>
      </c>
      <c r="F68" s="185">
        <f>OTCHET!$F197</f>
        <v>281928</v>
      </c>
      <c r="G68" s="71">
        <f>OTCHET!$G197</f>
        <v>0</v>
      </c>
      <c r="H68" s="71">
        <f>OTCHET!$H197</f>
        <v>0</v>
      </c>
      <c r="I68" s="71">
        <f>OTCHET!$I197</f>
        <v>0</v>
      </c>
      <c r="J68" s="71">
        <f>OTCHET!$J197</f>
        <v>281928</v>
      </c>
      <c r="K68" s="176">
        <f t="shared" si="1"/>
        <v>1</v>
      </c>
      <c r="L68" s="104"/>
      <c r="M68" s="205"/>
      <c r="N68" s="104"/>
      <c r="O68" s="105"/>
    </row>
    <row r="69" spans="1:15" s="69" customFormat="1" ht="24" customHeight="1">
      <c r="A69" s="76">
        <v>115</v>
      </c>
      <c r="B69" s="70">
        <v>800</v>
      </c>
      <c r="C69" s="2122" t="s">
        <v>841</v>
      </c>
      <c r="D69" s="2152"/>
      <c r="E69" s="185">
        <f>OTCHET!$E205</f>
        <v>0</v>
      </c>
      <c r="F69" s="185">
        <f>OTCHET!$F205</f>
        <v>0</v>
      </c>
      <c r="G69" s="71">
        <f>OTCHET!$G205</f>
        <v>0</v>
      </c>
      <c r="H69" s="71">
        <f>OTCHET!$H205</f>
        <v>0</v>
      </c>
      <c r="I69" s="71">
        <f>OTCHET!$I205</f>
        <v>0</v>
      </c>
      <c r="J69" s="71">
        <f>OTCHET!$J205</f>
        <v>0</v>
      </c>
      <c r="K69" s="176">
        <f t="shared" si="1"/>
      </c>
      <c r="L69" s="104"/>
      <c r="M69" s="205"/>
      <c r="N69" s="104"/>
      <c r="O69" s="105"/>
    </row>
    <row r="70" spans="1:15" s="69" customFormat="1" ht="21">
      <c r="A70" s="76">
        <v>125</v>
      </c>
      <c r="B70" s="70">
        <v>1000</v>
      </c>
      <c r="C70" s="2128" t="s">
        <v>842</v>
      </c>
      <c r="D70" s="2129"/>
      <c r="E70" s="185">
        <f>OTCHET!$E206</f>
        <v>2026200</v>
      </c>
      <c r="F70" s="185">
        <f>OTCHET!$F206</f>
        <v>197075</v>
      </c>
      <c r="G70" s="71">
        <f>OTCHET!$G206</f>
        <v>161273</v>
      </c>
      <c r="H70" s="71">
        <f>OTCHET!$H206</f>
        <v>0</v>
      </c>
      <c r="I70" s="71">
        <f>OTCHET!$I206</f>
        <v>35802</v>
      </c>
      <c r="J70" s="71">
        <f>OTCHET!$J206</f>
        <v>0</v>
      </c>
      <c r="K70" s="176">
        <f t="shared" si="1"/>
        <v>1</v>
      </c>
      <c r="L70" s="104"/>
      <c r="M70" s="205"/>
      <c r="N70" s="104"/>
      <c r="O70" s="105"/>
    </row>
    <row r="71" spans="1:15" s="69" customFormat="1" ht="21">
      <c r="A71" s="76">
        <v>220</v>
      </c>
      <c r="B71" s="70">
        <v>1900</v>
      </c>
      <c r="C71" s="2148" t="s">
        <v>2006</v>
      </c>
      <c r="D71" s="2149"/>
      <c r="E71" s="185">
        <f>OTCHET!$E224</f>
        <v>50000</v>
      </c>
      <c r="F71" s="185">
        <f>OTCHET!$F224</f>
        <v>39739</v>
      </c>
      <c r="G71" s="71">
        <f>OTCHET!$G224</f>
        <v>32121</v>
      </c>
      <c r="H71" s="71">
        <f>OTCHET!$H224</f>
        <v>0</v>
      </c>
      <c r="I71" s="71">
        <f>OTCHET!$I224</f>
        <v>7618</v>
      </c>
      <c r="J71" s="71">
        <f>OTCHET!$J224</f>
        <v>0</v>
      </c>
      <c r="K71" s="176">
        <f t="shared" si="1"/>
        <v>1</v>
      </c>
      <c r="L71" s="104"/>
      <c r="M71" s="205"/>
      <c r="N71" s="104"/>
      <c r="O71" s="105"/>
    </row>
    <row r="72" spans="1:15" s="69" customFormat="1" ht="21">
      <c r="A72" s="76">
        <v>220</v>
      </c>
      <c r="B72" s="70">
        <v>2100</v>
      </c>
      <c r="C72" s="2148" t="s">
        <v>1016</v>
      </c>
      <c r="D72" s="2149"/>
      <c r="E72" s="185">
        <f>OTCHET!$E228</f>
        <v>0</v>
      </c>
      <c r="F72" s="185">
        <f>OTCHET!$F228</f>
        <v>0</v>
      </c>
      <c r="G72" s="71">
        <f>OTCHET!$G228</f>
        <v>0</v>
      </c>
      <c r="H72" s="71">
        <f>OTCHET!$H228</f>
        <v>0</v>
      </c>
      <c r="I72" s="71">
        <f>OTCHET!$I228</f>
        <v>0</v>
      </c>
      <c r="J72" s="71">
        <f>OTCHET!$J228</f>
        <v>0</v>
      </c>
      <c r="K72" s="176">
        <f t="shared" si="1"/>
      </c>
      <c r="L72" s="104"/>
      <c r="M72" s="205"/>
      <c r="N72" s="104"/>
      <c r="O72" s="105"/>
    </row>
    <row r="73" spans="1:15" s="69" customFormat="1" ht="21">
      <c r="A73" s="76">
        <v>250</v>
      </c>
      <c r="B73" s="70">
        <v>2200</v>
      </c>
      <c r="C73" s="2148" t="s">
        <v>861</v>
      </c>
      <c r="D73" s="2149"/>
      <c r="E73" s="185">
        <f>OTCHET!$E234</f>
        <v>0</v>
      </c>
      <c r="F73" s="185">
        <f>OTCHET!$F234</f>
        <v>0</v>
      </c>
      <c r="G73" s="71">
        <f>OTCHET!$G234</f>
        <v>0</v>
      </c>
      <c r="H73" s="71">
        <f>OTCHET!$H234</f>
        <v>0</v>
      </c>
      <c r="I73" s="71">
        <f>OTCHET!$I234</f>
        <v>0</v>
      </c>
      <c r="J73" s="71">
        <f>OTCHET!$J234</f>
        <v>0</v>
      </c>
      <c r="K73" s="176">
        <f t="shared" si="1"/>
      </c>
      <c r="L73" s="104"/>
      <c r="M73" s="205"/>
      <c r="N73" s="104"/>
      <c r="O73" s="105"/>
    </row>
    <row r="74" spans="1:15" s="69" customFormat="1" ht="21">
      <c r="A74" s="76">
        <v>270</v>
      </c>
      <c r="B74" s="70">
        <v>2500</v>
      </c>
      <c r="C74" s="2148" t="s">
        <v>863</v>
      </c>
      <c r="D74" s="2149"/>
      <c r="E74" s="185">
        <f>OTCHET!$E237</f>
        <v>0</v>
      </c>
      <c r="F74" s="185">
        <f>OTCHET!$F237</f>
        <v>0</v>
      </c>
      <c r="G74" s="71">
        <f>OTCHET!$G237</f>
        <v>0</v>
      </c>
      <c r="H74" s="71">
        <f>OTCHET!$H237</f>
        <v>0</v>
      </c>
      <c r="I74" s="71">
        <f>OTCHET!$I237</f>
        <v>0</v>
      </c>
      <c r="J74" s="71">
        <f>OTCHET!$J237</f>
        <v>0</v>
      </c>
      <c r="K74" s="176">
        <f t="shared" si="1"/>
      </c>
      <c r="L74" s="104"/>
      <c r="M74" s="205"/>
      <c r="N74" s="104"/>
      <c r="O74" s="105"/>
    </row>
    <row r="75" spans="1:15" s="69" customFormat="1" ht="20.25" customHeight="1">
      <c r="A75" s="76">
        <v>290</v>
      </c>
      <c r="B75" s="70">
        <v>2600</v>
      </c>
      <c r="C75" s="2141" t="s">
        <v>864</v>
      </c>
      <c r="D75" s="2142"/>
      <c r="E75" s="185">
        <f>OTCHET!$E238</f>
        <v>0</v>
      </c>
      <c r="F75" s="185">
        <f>OTCHET!$F238</f>
        <v>0</v>
      </c>
      <c r="G75" s="71">
        <f>OTCHET!$G238</f>
        <v>0</v>
      </c>
      <c r="H75" s="71">
        <f>OTCHET!$H238</f>
        <v>0</v>
      </c>
      <c r="I75" s="71">
        <f>OTCHET!$I238</f>
        <v>0</v>
      </c>
      <c r="J75" s="71">
        <f>OTCHET!$J238</f>
        <v>0</v>
      </c>
      <c r="K75" s="176">
        <f t="shared" si="1"/>
      </c>
      <c r="L75" s="104"/>
      <c r="M75" s="205"/>
      <c r="N75" s="104"/>
      <c r="O75" s="105"/>
    </row>
    <row r="76" spans="1:15" s="69" customFormat="1" ht="24" customHeight="1">
      <c r="A76" s="106">
        <v>320</v>
      </c>
      <c r="B76" s="70">
        <v>2700</v>
      </c>
      <c r="C76" s="2141" t="s">
        <v>865</v>
      </c>
      <c r="D76" s="2142"/>
      <c r="E76" s="185">
        <f>OTCHET!$E239</f>
        <v>0</v>
      </c>
      <c r="F76" s="185">
        <f>OTCHET!$F239</f>
        <v>0</v>
      </c>
      <c r="G76" s="71">
        <f>OTCHET!$G239</f>
        <v>0</v>
      </c>
      <c r="H76" s="71">
        <f>OTCHET!$H239</f>
        <v>0</v>
      </c>
      <c r="I76" s="71">
        <f>OTCHET!$I239</f>
        <v>0</v>
      </c>
      <c r="J76" s="71">
        <f>OTCHET!$J239</f>
        <v>0</v>
      </c>
      <c r="K76" s="176">
        <f t="shared" si="1"/>
      </c>
      <c r="L76" s="104"/>
      <c r="M76" s="205"/>
      <c r="N76" s="104"/>
      <c r="O76" s="105"/>
    </row>
    <row r="77" spans="1:15" s="69" customFormat="1" ht="33.75" customHeight="1">
      <c r="A77" s="76">
        <v>330</v>
      </c>
      <c r="B77" s="70">
        <v>2800</v>
      </c>
      <c r="C77" s="2141" t="s">
        <v>2093</v>
      </c>
      <c r="D77" s="2142"/>
      <c r="E77" s="185">
        <f>OTCHET!$E240</f>
        <v>0</v>
      </c>
      <c r="F77" s="185">
        <f>OTCHET!$F240</f>
        <v>0</v>
      </c>
      <c r="G77" s="71">
        <f>OTCHET!$G240</f>
        <v>0</v>
      </c>
      <c r="H77" s="71">
        <f>OTCHET!$H240</f>
        <v>0</v>
      </c>
      <c r="I77" s="71">
        <f>OTCHET!$I240</f>
        <v>0</v>
      </c>
      <c r="J77" s="71">
        <f>OTCHET!$J240</f>
        <v>0</v>
      </c>
      <c r="K77" s="176">
        <f t="shared" si="1"/>
      </c>
      <c r="L77" s="104"/>
      <c r="M77" s="205"/>
      <c r="N77" s="104"/>
      <c r="O77" s="105"/>
    </row>
    <row r="78" spans="1:15" s="69" customFormat="1" ht="21">
      <c r="A78" s="76">
        <v>350</v>
      </c>
      <c r="B78" s="70">
        <v>2900</v>
      </c>
      <c r="C78" s="2148" t="s">
        <v>866</v>
      </c>
      <c r="D78" s="2149"/>
      <c r="E78" s="185">
        <f>OTCHET!$E241</f>
        <v>0</v>
      </c>
      <c r="F78" s="185">
        <f>OTCHET!$F241</f>
        <v>0</v>
      </c>
      <c r="G78" s="71">
        <f>OTCHET!$G241</f>
        <v>0</v>
      </c>
      <c r="H78" s="71">
        <f>OTCHET!$H241</f>
        <v>0</v>
      </c>
      <c r="I78" s="71">
        <f>OTCHET!$I241</f>
        <v>0</v>
      </c>
      <c r="J78" s="71">
        <f>OTCHET!$J241</f>
        <v>0</v>
      </c>
      <c r="K78" s="176">
        <f t="shared" si="1"/>
      </c>
      <c r="L78" s="104"/>
      <c r="M78" s="205"/>
      <c r="N78" s="104"/>
      <c r="O78" s="105"/>
    </row>
    <row r="79" spans="1:15" s="69" customFormat="1" ht="21">
      <c r="A79" s="73">
        <v>397</v>
      </c>
      <c r="B79" s="70">
        <v>3300</v>
      </c>
      <c r="C79" s="107" t="s">
        <v>872</v>
      </c>
      <c r="D79" s="188"/>
      <c r="E79" s="185">
        <f>OTCHET!$E250</f>
        <v>0</v>
      </c>
      <c r="F79" s="185">
        <f>OTCHET!$F250</f>
        <v>0</v>
      </c>
      <c r="G79" s="71">
        <f>OTCHET!$G250</f>
        <v>0</v>
      </c>
      <c r="H79" s="71">
        <f>OTCHET!$H250</f>
        <v>0</v>
      </c>
      <c r="I79" s="71">
        <f>OTCHET!$I250</f>
        <v>0</v>
      </c>
      <c r="J79" s="71">
        <f>OTCHET!$J250</f>
        <v>0</v>
      </c>
      <c r="K79" s="176">
        <f t="shared" si="1"/>
      </c>
      <c r="L79" s="104"/>
      <c r="M79" s="205"/>
      <c r="N79" s="104"/>
      <c r="O79" s="105"/>
    </row>
    <row r="80" spans="1:15" s="69" customFormat="1" ht="21">
      <c r="A80" s="108">
        <v>404</v>
      </c>
      <c r="B80" s="70">
        <v>3900</v>
      </c>
      <c r="C80" s="2148" t="s">
        <v>877</v>
      </c>
      <c r="D80" s="2149"/>
      <c r="E80" s="185">
        <f>OTCHET!$E257</f>
        <v>0</v>
      </c>
      <c r="F80" s="185">
        <f>OTCHET!$F257</f>
        <v>0</v>
      </c>
      <c r="G80" s="71">
        <f>OTCHET!$G257</f>
        <v>0</v>
      </c>
      <c r="H80" s="71">
        <f>OTCHET!$H257</f>
        <v>0</v>
      </c>
      <c r="I80" s="71">
        <f>OTCHET!$I257</f>
        <v>0</v>
      </c>
      <c r="J80" s="71">
        <f>OTCHET!$J257</f>
        <v>0</v>
      </c>
      <c r="K80" s="176">
        <f t="shared" si="1"/>
      </c>
      <c r="L80" s="104"/>
      <c r="M80" s="205"/>
      <c r="N80" s="104"/>
      <c r="O80" s="105"/>
    </row>
    <row r="81" spans="1:15" s="69" customFormat="1" ht="21">
      <c r="A81" s="76">
        <v>440</v>
      </c>
      <c r="B81" s="70">
        <v>4000</v>
      </c>
      <c r="C81" s="2148" t="s">
        <v>878</v>
      </c>
      <c r="D81" s="2149"/>
      <c r="E81" s="185">
        <f>OTCHET!$E258</f>
        <v>0</v>
      </c>
      <c r="F81" s="185">
        <f>OTCHET!$F258</f>
        <v>0</v>
      </c>
      <c r="G81" s="71">
        <f>OTCHET!$G258</f>
        <v>0</v>
      </c>
      <c r="H81" s="71">
        <f>OTCHET!$H258</f>
        <v>0</v>
      </c>
      <c r="I81" s="71">
        <f>OTCHET!$I258</f>
        <v>0</v>
      </c>
      <c r="J81" s="71">
        <f>OTCHET!$J258</f>
        <v>0</v>
      </c>
      <c r="K81" s="176">
        <f t="shared" si="1"/>
      </c>
      <c r="L81" s="104"/>
      <c r="M81" s="205"/>
      <c r="N81" s="104"/>
      <c r="O81" s="105"/>
    </row>
    <row r="82" spans="1:15" s="69" customFormat="1" ht="21">
      <c r="A82" s="76">
        <v>450</v>
      </c>
      <c r="B82" s="70">
        <v>4100</v>
      </c>
      <c r="C82" s="2148" t="s">
        <v>879</v>
      </c>
      <c r="D82" s="2149"/>
      <c r="E82" s="185">
        <f>OTCHET!$E259</f>
        <v>0</v>
      </c>
      <c r="F82" s="185">
        <f>OTCHET!$F259</f>
        <v>0</v>
      </c>
      <c r="G82" s="71">
        <f>OTCHET!$G259</f>
        <v>0</v>
      </c>
      <c r="H82" s="71">
        <f>OTCHET!$H259</f>
        <v>0</v>
      </c>
      <c r="I82" s="71">
        <f>OTCHET!$I259</f>
        <v>0</v>
      </c>
      <c r="J82" s="71">
        <f>OTCHET!$J259</f>
        <v>0</v>
      </c>
      <c r="K82" s="176">
        <f t="shared" si="1"/>
      </c>
      <c r="L82" s="104"/>
      <c r="M82" s="205"/>
      <c r="N82" s="104"/>
      <c r="O82" s="105"/>
    </row>
    <row r="83" spans="1:15" s="69" customFormat="1" ht="21">
      <c r="A83" s="76">
        <v>495</v>
      </c>
      <c r="B83" s="70">
        <v>4200</v>
      </c>
      <c r="C83" s="2148" t="s">
        <v>880</v>
      </c>
      <c r="D83" s="2149"/>
      <c r="E83" s="185">
        <f>OTCHET!$E260</f>
        <v>0</v>
      </c>
      <c r="F83" s="185">
        <f>OTCHET!$F260</f>
        <v>0</v>
      </c>
      <c r="G83" s="71">
        <f>OTCHET!$G260</f>
        <v>0</v>
      </c>
      <c r="H83" s="71">
        <f>OTCHET!$H260</f>
        <v>0</v>
      </c>
      <c r="I83" s="71">
        <f>OTCHET!$I260</f>
        <v>0</v>
      </c>
      <c r="J83" s="71">
        <f>OTCHET!$J260</f>
        <v>0</v>
      </c>
      <c r="K83" s="176">
        <f t="shared" si="1"/>
      </c>
      <c r="L83" s="104"/>
      <c r="M83" s="205"/>
      <c r="N83" s="104"/>
      <c r="O83" s="105"/>
    </row>
    <row r="84" spans="1:15" s="69" customFormat="1" ht="21">
      <c r="A84" s="76">
        <v>635</v>
      </c>
      <c r="B84" s="70">
        <v>4300</v>
      </c>
      <c r="C84" s="2148" t="s">
        <v>148</v>
      </c>
      <c r="D84" s="2149"/>
      <c r="E84" s="185">
        <f>OTCHET!$E267</f>
        <v>0</v>
      </c>
      <c r="F84" s="185">
        <f>OTCHET!$F267</f>
        <v>0</v>
      </c>
      <c r="G84" s="71">
        <f>OTCHET!$G267</f>
        <v>0</v>
      </c>
      <c r="H84" s="71">
        <f>OTCHET!$H267</f>
        <v>0</v>
      </c>
      <c r="I84" s="71">
        <f>OTCHET!$I267</f>
        <v>0</v>
      </c>
      <c r="J84" s="71">
        <f>OTCHET!$J267</f>
        <v>0</v>
      </c>
      <c r="K84" s="176">
        <f t="shared" si="1"/>
      </c>
      <c r="L84" s="104"/>
      <c r="M84" s="205"/>
      <c r="N84" s="104"/>
      <c r="O84" s="105"/>
    </row>
    <row r="85" spans="1:15" s="69" customFormat="1" ht="21">
      <c r="A85" s="76">
        <v>655</v>
      </c>
      <c r="B85" s="70">
        <v>4400</v>
      </c>
      <c r="C85" s="2148" t="s">
        <v>145</v>
      </c>
      <c r="D85" s="2149"/>
      <c r="E85" s="185">
        <f>OTCHET!$E271</f>
        <v>0</v>
      </c>
      <c r="F85" s="185">
        <f>OTCHET!$F271</f>
        <v>0</v>
      </c>
      <c r="G85" s="71">
        <f>OTCHET!$G271</f>
        <v>0</v>
      </c>
      <c r="H85" s="71">
        <f>OTCHET!$H271</f>
        <v>0</v>
      </c>
      <c r="I85" s="71">
        <f>OTCHET!$I271</f>
        <v>0</v>
      </c>
      <c r="J85" s="71">
        <f>OTCHET!$J271</f>
        <v>0</v>
      </c>
      <c r="K85" s="176">
        <f t="shared" si="1"/>
      </c>
      <c r="L85" s="104"/>
      <c r="M85" s="205"/>
      <c r="N85" s="104"/>
      <c r="O85" s="105"/>
    </row>
    <row r="86" spans="1:15" s="69" customFormat="1" ht="21">
      <c r="A86" s="76">
        <v>665</v>
      </c>
      <c r="B86" s="70">
        <v>4500</v>
      </c>
      <c r="C86" s="2148" t="s">
        <v>2094</v>
      </c>
      <c r="D86" s="2149"/>
      <c r="E86" s="185">
        <f>OTCHET!$E272</f>
        <v>0</v>
      </c>
      <c r="F86" s="185">
        <f>OTCHET!$F272</f>
        <v>0</v>
      </c>
      <c r="G86" s="71">
        <f>OTCHET!$G272</f>
        <v>0</v>
      </c>
      <c r="H86" s="71">
        <f>OTCHET!$H272</f>
        <v>0</v>
      </c>
      <c r="I86" s="71">
        <f>OTCHET!$I272</f>
        <v>0</v>
      </c>
      <c r="J86" s="71">
        <f>OTCHET!$J272</f>
        <v>0</v>
      </c>
      <c r="K86" s="176">
        <f t="shared" si="1"/>
      </c>
      <c r="L86" s="104"/>
      <c r="M86" s="205"/>
      <c r="N86" s="104"/>
      <c r="O86" s="105"/>
    </row>
    <row r="87" spans="1:15" s="69" customFormat="1" ht="18.75" customHeight="1">
      <c r="A87" s="76">
        <v>675</v>
      </c>
      <c r="B87" s="70">
        <v>4600</v>
      </c>
      <c r="C87" s="2141" t="s">
        <v>1278</v>
      </c>
      <c r="D87" s="2142"/>
      <c r="E87" s="185">
        <f>OTCHET!$E273</f>
        <v>80000</v>
      </c>
      <c r="F87" s="185">
        <f>OTCHET!$F273</f>
        <v>42550</v>
      </c>
      <c r="G87" s="71">
        <f>OTCHET!$G273</f>
        <v>42550</v>
      </c>
      <c r="H87" s="71">
        <f>OTCHET!$H273</f>
        <v>0</v>
      </c>
      <c r="I87" s="71">
        <f>OTCHET!$I273</f>
        <v>0</v>
      </c>
      <c r="J87" s="71">
        <f>OTCHET!$J273</f>
        <v>0</v>
      </c>
      <c r="K87" s="176">
        <f t="shared" si="1"/>
        <v>1</v>
      </c>
      <c r="L87" s="104"/>
      <c r="M87" s="205"/>
      <c r="N87" s="104"/>
      <c r="O87" s="105"/>
    </row>
    <row r="88" spans="1:15" s="69" customFormat="1" ht="21">
      <c r="A88" s="76">
        <v>685</v>
      </c>
      <c r="B88" s="70">
        <v>4900</v>
      </c>
      <c r="C88" s="2148" t="s">
        <v>2010</v>
      </c>
      <c r="D88" s="2149"/>
      <c r="E88" s="185">
        <f>OTCHET!$E274</f>
        <v>0</v>
      </c>
      <c r="F88" s="185">
        <f>OTCHET!$F274</f>
        <v>0</v>
      </c>
      <c r="G88" s="71">
        <f>OTCHET!$G274</f>
        <v>0</v>
      </c>
      <c r="H88" s="71">
        <f>OTCHET!$H274</f>
        <v>0</v>
      </c>
      <c r="I88" s="71">
        <f>OTCHET!$I274</f>
        <v>0</v>
      </c>
      <c r="J88" s="71">
        <f>OTCHET!$J274</f>
        <v>0</v>
      </c>
      <c r="K88" s="176">
        <f t="shared" si="1"/>
      </c>
      <c r="L88" s="104"/>
      <c r="M88" s="205"/>
      <c r="N88" s="104"/>
      <c r="O88" s="105"/>
    </row>
    <row r="89" spans="1:15" s="110" customFormat="1" ht="21">
      <c r="A89" s="76">
        <v>700</v>
      </c>
      <c r="B89" s="109">
        <v>5100</v>
      </c>
      <c r="C89" s="2158" t="s">
        <v>1279</v>
      </c>
      <c r="D89" s="2159"/>
      <c r="E89" s="185">
        <f>OTCHET!$E277</f>
        <v>58500</v>
      </c>
      <c r="F89" s="185">
        <f>OTCHET!$F277</f>
        <v>0</v>
      </c>
      <c r="G89" s="71">
        <f>OTCHET!$G277</f>
        <v>0</v>
      </c>
      <c r="H89" s="71">
        <f>OTCHET!$H277</f>
        <v>0</v>
      </c>
      <c r="I89" s="71">
        <f>OTCHET!$I277</f>
        <v>0</v>
      </c>
      <c r="J89" s="71">
        <f>OTCHET!$J277</f>
        <v>0</v>
      </c>
      <c r="K89" s="176">
        <f t="shared" si="1"/>
        <v>1</v>
      </c>
      <c r="L89" s="104"/>
      <c r="M89" s="205"/>
      <c r="N89" s="104"/>
      <c r="O89" s="105"/>
    </row>
    <row r="90" spans="1:15" s="110" customFormat="1" ht="21">
      <c r="A90" s="76">
        <v>710</v>
      </c>
      <c r="B90" s="109">
        <v>5200</v>
      </c>
      <c r="C90" s="2158" t="s">
        <v>1280</v>
      </c>
      <c r="D90" s="2159"/>
      <c r="E90" s="185">
        <f>OTCHET!$E278</f>
        <v>520500</v>
      </c>
      <c r="F90" s="185">
        <f>OTCHET!$F278</f>
        <v>-16244</v>
      </c>
      <c r="G90" s="71">
        <f>OTCHET!$G278</f>
        <v>-16244</v>
      </c>
      <c r="H90" s="71">
        <f>OTCHET!$H278</f>
        <v>0</v>
      </c>
      <c r="I90" s="71">
        <f>OTCHET!$I278</f>
        <v>0</v>
      </c>
      <c r="J90" s="71">
        <f>OTCHET!$J278</f>
        <v>0</v>
      </c>
      <c r="K90" s="176">
        <f t="shared" si="1"/>
        <v>1</v>
      </c>
      <c r="L90" s="104"/>
      <c r="M90" s="205"/>
      <c r="N90" s="104"/>
      <c r="O90" s="105"/>
    </row>
    <row r="91" spans="1:15" s="110" customFormat="1" ht="21">
      <c r="A91" s="76">
        <v>750</v>
      </c>
      <c r="B91" s="109">
        <v>5300</v>
      </c>
      <c r="C91" s="2158" t="s">
        <v>528</v>
      </c>
      <c r="D91" s="2159"/>
      <c r="E91" s="185">
        <f>OTCHET!$E286</f>
        <v>904000</v>
      </c>
      <c r="F91" s="185">
        <f>OTCHET!$F286</f>
        <v>0</v>
      </c>
      <c r="G91" s="71">
        <f>OTCHET!$G286</f>
        <v>0</v>
      </c>
      <c r="H91" s="71">
        <f>OTCHET!$H286</f>
        <v>0</v>
      </c>
      <c r="I91" s="71">
        <f>OTCHET!$I286</f>
        <v>0</v>
      </c>
      <c r="J91" s="71">
        <f>OTCHET!$J286</f>
        <v>0</v>
      </c>
      <c r="K91" s="176">
        <f t="shared" si="1"/>
        <v>1</v>
      </c>
      <c r="L91" s="104"/>
      <c r="M91" s="205"/>
      <c r="N91" s="104"/>
      <c r="O91" s="105"/>
    </row>
    <row r="92" spans="1:15" s="110" customFormat="1" ht="21">
      <c r="A92" s="76">
        <v>765</v>
      </c>
      <c r="B92" s="109">
        <v>5400</v>
      </c>
      <c r="C92" s="2158" t="s">
        <v>1296</v>
      </c>
      <c r="D92" s="2159"/>
      <c r="E92" s="185">
        <f>OTCHET!$E289</f>
        <v>0</v>
      </c>
      <c r="F92" s="185">
        <f>OTCHET!$F289</f>
        <v>0</v>
      </c>
      <c r="G92" s="71">
        <f>OTCHET!$G289</f>
        <v>0</v>
      </c>
      <c r="H92" s="71">
        <f>OTCHET!$H289</f>
        <v>0</v>
      </c>
      <c r="I92" s="71">
        <f>OTCHET!$I289</f>
        <v>0</v>
      </c>
      <c r="J92" s="71">
        <f>OTCHET!$J289</f>
        <v>0</v>
      </c>
      <c r="K92" s="176">
        <f t="shared" si="1"/>
      </c>
      <c r="L92" s="104"/>
      <c r="M92" s="205"/>
      <c r="N92" s="104"/>
      <c r="O92" s="105"/>
    </row>
    <row r="93" spans="1:15" s="69" customFormat="1" ht="21">
      <c r="A93" s="76">
        <v>775</v>
      </c>
      <c r="B93" s="70">
        <v>5500</v>
      </c>
      <c r="C93" s="2148" t="s">
        <v>1297</v>
      </c>
      <c r="D93" s="2149"/>
      <c r="E93" s="185">
        <f>OTCHET!$E290</f>
        <v>0</v>
      </c>
      <c r="F93" s="185">
        <f>OTCHET!$F290</f>
        <v>0</v>
      </c>
      <c r="G93" s="71">
        <f>OTCHET!$G290</f>
        <v>0</v>
      </c>
      <c r="H93" s="71">
        <f>OTCHET!$H290</f>
        <v>0</v>
      </c>
      <c r="I93" s="71">
        <f>OTCHET!$I290</f>
        <v>0</v>
      </c>
      <c r="J93" s="71">
        <f>OTCHET!$J290</f>
        <v>0</v>
      </c>
      <c r="K93" s="176">
        <f t="shared" si="1"/>
      </c>
      <c r="L93" s="104"/>
      <c r="M93" s="205"/>
      <c r="N93" s="104"/>
      <c r="O93" s="105"/>
    </row>
    <row r="94" spans="1:15" s="110" customFormat="1" ht="36.75" customHeight="1">
      <c r="A94" s="76">
        <v>805</v>
      </c>
      <c r="B94" s="109">
        <v>5700</v>
      </c>
      <c r="C94" s="2153" t="s">
        <v>1302</v>
      </c>
      <c r="D94" s="2154"/>
      <c r="E94" s="185">
        <f>OTCHET!$E295</f>
        <v>0</v>
      </c>
      <c r="F94" s="185">
        <f>OTCHET!$F295</f>
        <v>0</v>
      </c>
      <c r="G94" s="71">
        <f>OTCHET!$G295</f>
        <v>0</v>
      </c>
      <c r="H94" s="71">
        <f>OTCHET!$H295</f>
        <v>0</v>
      </c>
      <c r="I94" s="71">
        <f>OTCHET!$I295</f>
        <v>0</v>
      </c>
      <c r="J94" s="71">
        <f>OTCHET!$J295</f>
        <v>0</v>
      </c>
      <c r="K94" s="176">
        <f t="shared" si="1"/>
      </c>
      <c r="L94" s="104"/>
      <c r="M94" s="205"/>
      <c r="N94" s="104"/>
      <c r="O94" s="105"/>
    </row>
    <row r="95" spans="1:15" s="69" customFormat="1" ht="21.75" thickBot="1">
      <c r="A95" s="76">
        <v>820</v>
      </c>
      <c r="B95" s="111" t="s">
        <v>1371</v>
      </c>
      <c r="C95" s="2155" t="s">
        <v>1306</v>
      </c>
      <c r="D95" s="2156"/>
      <c r="E95" s="189">
        <f>OTCHET!$E299</f>
        <v>0</v>
      </c>
      <c r="F95" s="189">
        <f>OTCHET!$F299</f>
        <v>0</v>
      </c>
      <c r="G95" s="112">
        <f>OTCHET!$G299</f>
        <v>0</v>
      </c>
      <c r="H95" s="112">
        <f>OTCHET!$H299</f>
        <v>0</v>
      </c>
      <c r="I95" s="112">
        <f>OTCHET!$I299</f>
        <v>0</v>
      </c>
      <c r="J95" s="112">
        <f>OTCHET!$J299</f>
        <v>0</v>
      </c>
      <c r="K95" s="176">
        <f t="shared" si="1"/>
      </c>
      <c r="L95" s="113"/>
      <c r="M95" s="206"/>
      <c r="N95" s="114"/>
      <c r="O95" s="115"/>
    </row>
    <row r="96" spans="1:15" ht="21.75" thickBot="1">
      <c r="A96" s="116">
        <v>825</v>
      </c>
      <c r="B96" s="117"/>
      <c r="C96" s="2157" t="s">
        <v>1307</v>
      </c>
      <c r="D96" s="2157"/>
      <c r="E96" s="86">
        <f>OTCHET!$E303</f>
        <v>9669200</v>
      </c>
      <c r="F96" s="86">
        <f>OTCHET!$F303</f>
        <v>1621894</v>
      </c>
      <c r="G96" s="86">
        <f>OTCHET!$G303</f>
        <v>1179379</v>
      </c>
      <c r="H96" s="86">
        <f>OTCHET!$H303</f>
        <v>0</v>
      </c>
      <c r="I96" s="86">
        <f>OTCHET!$I303</f>
        <v>43420</v>
      </c>
      <c r="J96" s="86">
        <f>OTCHET!$J303</f>
        <v>399095</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32" t="str">
        <f>$B$7</f>
        <v>ОТЧЕТНИ ДАННИ ПО ЕБК ЗА ИЗПЪЛНЕНИЕТО НА БЮДЖЕТА</v>
      </c>
      <c r="C99" s="2133"/>
      <c r="D99" s="2133"/>
      <c r="E99" s="92"/>
      <c r="F99" s="92"/>
      <c r="K99" s="180">
        <v>1</v>
      </c>
    </row>
    <row r="100" spans="1:11" ht="21">
      <c r="A100" s="83"/>
      <c r="C100" s="49"/>
      <c r="D100" s="50"/>
      <c r="E100" s="93" t="s">
        <v>983</v>
      </c>
      <c r="F100" s="93" t="s">
        <v>889</v>
      </c>
      <c r="K100" s="180">
        <v>1</v>
      </c>
    </row>
    <row r="101" spans="1:11" ht="38.25" customHeight="1" thickBot="1">
      <c r="A101" s="83"/>
      <c r="B101" s="2134" t="str">
        <f>$B$9</f>
        <v>КОМИСИЯ ЗА РЕГУЛИРАНЕ НА СЪОБЩЕНИЯТА</v>
      </c>
      <c r="C101" s="2135"/>
      <c r="D101" s="2135"/>
      <c r="E101" s="95">
        <f>$E$9</f>
        <v>43101</v>
      </c>
      <c r="F101" s="96">
        <f>$F$9</f>
        <v>43190</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134" t="str">
        <f>$B$12</f>
        <v>Комисия за регулиране на съобщенията</v>
      </c>
      <c r="C104" s="2135"/>
      <c r="D104" s="2135"/>
      <c r="E104" s="92" t="s">
        <v>984</v>
      </c>
      <c r="F104" s="99" t="str">
        <f>$F$12</f>
        <v>4300</v>
      </c>
      <c r="K104" s="180">
        <v>1</v>
      </c>
    </row>
    <row r="105" spans="1:11" ht="21.75" thickTop="1">
      <c r="A105" s="83"/>
      <c r="B105" s="54" t="str">
        <f>$B$13</f>
        <v>                                             (наименование на първостепенния разпоредител с бюджет)</v>
      </c>
      <c r="E105" s="98" t="s">
        <v>985</v>
      </c>
      <c r="F105" s="92"/>
      <c r="K105" s="180">
        <v>1</v>
      </c>
    </row>
    <row r="106" spans="1:11" ht="15" customHeight="1">
      <c r="A106" s="83"/>
      <c r="B106" s="54"/>
      <c r="E106" s="92"/>
      <c r="F106" s="92"/>
      <c r="K106" s="180">
        <v>1</v>
      </c>
    </row>
    <row r="107" spans="1:11" ht="21.75" thickBot="1">
      <c r="A107" s="83"/>
      <c r="C107" s="49"/>
      <c r="D107" s="50"/>
      <c r="F107" s="54"/>
      <c r="J107" s="54" t="s">
        <v>986</v>
      </c>
      <c r="K107" s="180">
        <v>1</v>
      </c>
    </row>
    <row r="108" spans="1:11" ht="21.75" thickBot="1">
      <c r="A108" s="83"/>
      <c r="B108" s="151"/>
      <c r="C108" s="2165" t="s">
        <v>1211</v>
      </c>
      <c r="D108" s="2166"/>
      <c r="E108" s="61" t="s">
        <v>988</v>
      </c>
      <c r="F108" s="287" t="s">
        <v>989</v>
      </c>
      <c r="G108" s="203"/>
      <c r="H108" s="203"/>
      <c r="I108" s="203"/>
      <c r="J108" s="65"/>
      <c r="K108" s="180">
        <v>1</v>
      </c>
    </row>
    <row r="109" spans="1:11" ht="45.75" customHeight="1" thickBot="1">
      <c r="A109" s="83"/>
      <c r="B109" s="120" t="s">
        <v>937</v>
      </c>
      <c r="C109" s="2167" t="s">
        <v>1370</v>
      </c>
      <c r="D109" s="2168"/>
      <c r="E109" s="63">
        <v>2017</v>
      </c>
      <c r="F109" s="174" t="s">
        <v>1351</v>
      </c>
      <c r="G109" s="174" t="s">
        <v>1401</v>
      </c>
      <c r="H109" s="174" t="s">
        <v>1402</v>
      </c>
      <c r="I109" s="288" t="s">
        <v>1230</v>
      </c>
      <c r="J109" s="289" t="s">
        <v>1231</v>
      </c>
      <c r="K109" s="180">
        <v>1</v>
      </c>
    </row>
    <row r="110" spans="1:11" ht="21.75" thickBot="1">
      <c r="A110" s="83">
        <v>1</v>
      </c>
      <c r="B110" s="20"/>
      <c r="C110" s="2160" t="s">
        <v>589</v>
      </c>
      <c r="D110" s="2161"/>
      <c r="E110" s="16" t="s">
        <v>604</v>
      </c>
      <c r="F110" s="16" t="s">
        <v>605</v>
      </c>
      <c r="G110" s="16" t="s">
        <v>1365</v>
      </c>
      <c r="H110" s="210" t="s">
        <v>1366</v>
      </c>
      <c r="I110" s="16" t="s">
        <v>1339</v>
      </c>
      <c r="J110" s="210" t="s">
        <v>1232</v>
      </c>
      <c r="K110" s="180">
        <v>1</v>
      </c>
    </row>
    <row r="111" spans="1:11" ht="21.75" thickBot="1">
      <c r="A111" s="83">
        <v>2</v>
      </c>
      <c r="B111" s="23"/>
      <c r="C111" s="2162" t="s">
        <v>2014</v>
      </c>
      <c r="D111" s="2161"/>
      <c r="E111" s="21"/>
      <c r="F111" s="42"/>
      <c r="G111" s="42"/>
      <c r="H111" s="22"/>
      <c r="I111" s="42"/>
      <c r="J111" s="22"/>
      <c r="K111" s="180">
        <v>1</v>
      </c>
    </row>
    <row r="112" spans="1:11" s="69" customFormat="1" ht="32.25" customHeight="1">
      <c r="A112" s="106">
        <v>5</v>
      </c>
      <c r="B112" s="67">
        <v>3000</v>
      </c>
      <c r="C112" s="2163" t="s">
        <v>1212</v>
      </c>
      <c r="D112" s="2164"/>
      <c r="E112" s="190">
        <f>OTCHET!$E363</f>
        <v>0</v>
      </c>
      <c r="F112" s="191">
        <f>OTCHET!$F363</f>
        <v>0</v>
      </c>
      <c r="G112" s="121">
        <f>OTCHET!$G363</f>
        <v>0</v>
      </c>
      <c r="H112" s="121">
        <f>OTCHET!$H363</f>
        <v>0</v>
      </c>
      <c r="I112" s="121">
        <f>OTCHET!$I363</f>
        <v>0</v>
      </c>
      <c r="J112" s="121">
        <f>OTCHET!$J363</f>
        <v>0</v>
      </c>
      <c r="K112" s="177">
        <f aca="true" t="shared" si="2" ref="K112:K123">(IF(E112&lt;&gt;0,$K$2,IF(F112&lt;&gt;0,$K$2,"")))</f>
      </c>
    </row>
    <row r="113" spans="1:11" s="69" customFormat="1" ht="21">
      <c r="A113" s="106">
        <v>70</v>
      </c>
      <c r="B113" s="70">
        <v>3100</v>
      </c>
      <c r="C113" s="2114" t="s">
        <v>2025</v>
      </c>
      <c r="D113" s="2115"/>
      <c r="E113" s="192">
        <f>OTCHET!$E377</f>
        <v>-7000000</v>
      </c>
      <c r="F113" s="193">
        <f>OTCHET!$F377</f>
        <v>-42344564</v>
      </c>
      <c r="G113" s="122">
        <f>OTCHET!$G377</f>
        <v>-42344564</v>
      </c>
      <c r="H113" s="122">
        <f>OTCHET!$H377</f>
        <v>0</v>
      </c>
      <c r="I113" s="122">
        <f>OTCHET!$I377</f>
        <v>0</v>
      </c>
      <c r="J113" s="122">
        <f>OTCHET!$J377</f>
        <v>0</v>
      </c>
      <c r="K113" s="177">
        <f t="shared" si="2"/>
        <v>1</v>
      </c>
    </row>
    <row r="114" spans="1:11" s="69" customFormat="1" ht="32.25" customHeight="1" thickBot="1">
      <c r="A114" s="76">
        <v>115</v>
      </c>
      <c r="B114" s="123">
        <v>3200</v>
      </c>
      <c r="C114" s="2169" t="s">
        <v>1036</v>
      </c>
      <c r="D114" s="2170"/>
      <c r="E114" s="194">
        <f>OTCHET!$E385</f>
        <v>0</v>
      </c>
      <c r="F114" s="195">
        <f>OTCHET!$F385</f>
        <v>0</v>
      </c>
      <c r="G114" s="124">
        <f>OTCHET!$G385</f>
        <v>0</v>
      </c>
      <c r="H114" s="124">
        <f>OTCHET!$H385</f>
        <v>0</v>
      </c>
      <c r="I114" s="124">
        <f>OTCHET!$I385</f>
        <v>0</v>
      </c>
      <c r="J114" s="124">
        <f>OTCHET!$J385</f>
        <v>0</v>
      </c>
      <c r="K114" s="177">
        <f t="shared" si="2"/>
      </c>
    </row>
    <row r="115" spans="1:11" s="69" customFormat="1" ht="32.25" customHeight="1">
      <c r="A115" s="106">
        <v>145</v>
      </c>
      <c r="B115" s="70">
        <v>6000</v>
      </c>
      <c r="C115" s="2150" t="s">
        <v>1284</v>
      </c>
      <c r="D115" s="2151"/>
      <c r="E115" s="190">
        <f>OTCHET!$E390</f>
        <v>0</v>
      </c>
      <c r="F115" s="191">
        <f>OTCHET!$F390</f>
        <v>0</v>
      </c>
      <c r="G115" s="121">
        <f>OTCHET!$G390</f>
        <v>0</v>
      </c>
      <c r="H115" s="121">
        <f>OTCHET!$H390</f>
        <v>0</v>
      </c>
      <c r="I115" s="121">
        <f>OTCHET!$I390</f>
        <v>0</v>
      </c>
      <c r="J115" s="121">
        <f>OTCHET!$J390</f>
        <v>0</v>
      </c>
      <c r="K115" s="177">
        <f t="shared" si="2"/>
      </c>
    </row>
    <row r="116" spans="1:11" s="69" customFormat="1" ht="21">
      <c r="A116" s="106">
        <v>160</v>
      </c>
      <c r="B116" s="70">
        <v>6100</v>
      </c>
      <c r="C116" s="2128" t="s">
        <v>1285</v>
      </c>
      <c r="D116" s="2129"/>
      <c r="E116" s="192">
        <f>OTCHET!$E393</f>
        <v>-9100000</v>
      </c>
      <c r="F116" s="193">
        <f>OTCHET!$F393</f>
        <v>-405508</v>
      </c>
      <c r="G116" s="122">
        <f>OTCHET!$G393</f>
        <v>-367580</v>
      </c>
      <c r="H116" s="122">
        <f>OTCHET!$H393</f>
        <v>0</v>
      </c>
      <c r="I116" s="122">
        <f>OTCHET!$I393</f>
        <v>0</v>
      </c>
      <c r="J116" s="122">
        <f>OTCHET!$J393</f>
        <v>-37928</v>
      </c>
      <c r="K116" s="177">
        <f t="shared" si="2"/>
        <v>1</v>
      </c>
    </row>
    <row r="117" spans="1:11" s="69" customFormat="1" ht="32.25" customHeight="1">
      <c r="A117" s="76">
        <v>185</v>
      </c>
      <c r="B117" s="70">
        <v>6200</v>
      </c>
      <c r="C117" s="2179" t="s">
        <v>1287</v>
      </c>
      <c r="D117" s="2180"/>
      <c r="E117" s="192">
        <f>OTCHET!$E398</f>
        <v>0</v>
      </c>
      <c r="F117" s="197">
        <f>OTCHET!$F398</f>
        <v>0</v>
      </c>
      <c r="G117" s="128">
        <f>OTCHET!$G398</f>
        <v>0</v>
      </c>
      <c r="H117" s="128">
        <f>OTCHET!$H398</f>
        <v>0</v>
      </c>
      <c r="I117" s="128">
        <f>OTCHET!$I398</f>
        <v>0</v>
      </c>
      <c r="J117" s="128">
        <f>OTCHET!$J398</f>
        <v>0</v>
      </c>
      <c r="K117" s="177">
        <f t="shared" si="2"/>
      </c>
    </row>
    <row r="118" spans="1:11" s="69" customFormat="1" ht="21.75" customHeight="1">
      <c r="A118" s="76">
        <v>200</v>
      </c>
      <c r="B118" s="70">
        <v>6300</v>
      </c>
      <c r="C118" s="2175" t="s">
        <v>1288</v>
      </c>
      <c r="D118" s="2142"/>
      <c r="E118" s="192">
        <f>OTCHET!$E401</f>
        <v>0</v>
      </c>
      <c r="F118" s="197">
        <f>OTCHET!$F401</f>
        <v>0</v>
      </c>
      <c r="G118" s="128">
        <f>OTCHET!$G401</f>
        <v>0</v>
      </c>
      <c r="H118" s="128">
        <f>OTCHET!$H401</f>
        <v>0</v>
      </c>
      <c r="I118" s="128">
        <f>OTCHET!$I401</f>
        <v>0</v>
      </c>
      <c r="J118" s="128">
        <f>OTCHET!$J401</f>
        <v>0</v>
      </c>
      <c r="K118" s="177">
        <f t="shared" si="2"/>
      </c>
    </row>
    <row r="119" spans="1:20" s="129" customFormat="1" ht="34.5" customHeight="1">
      <c r="A119" s="77">
        <v>210</v>
      </c>
      <c r="B119" s="70">
        <v>6400</v>
      </c>
      <c r="C119" s="2173" t="s">
        <v>1289</v>
      </c>
      <c r="D119" s="2174"/>
      <c r="E119" s="192">
        <f>OTCHET!$E404</f>
        <v>0</v>
      </c>
      <c r="F119" s="197">
        <f>OTCHET!$F404</f>
        <v>0</v>
      </c>
      <c r="G119" s="128">
        <f>OTCHET!$G404</f>
        <v>0</v>
      </c>
      <c r="H119" s="128">
        <f>OTCHET!$H404</f>
        <v>0</v>
      </c>
      <c r="I119" s="128">
        <f>OTCHET!$I404</f>
        <v>0</v>
      </c>
      <c r="J119" s="128">
        <f>OTCHET!$J404</f>
        <v>0</v>
      </c>
      <c r="K119" s="177">
        <f t="shared" si="2"/>
      </c>
      <c r="L119" s="80"/>
      <c r="M119" s="80"/>
      <c r="N119" s="80"/>
      <c r="O119" s="80"/>
      <c r="P119" s="80"/>
      <c r="Q119" s="80"/>
      <c r="R119" s="80"/>
      <c r="S119" s="80"/>
      <c r="T119" s="80"/>
    </row>
    <row r="120" spans="1:20" s="129" customFormat="1" ht="21">
      <c r="A120" s="130">
        <v>213</v>
      </c>
      <c r="B120" s="70">
        <v>6500</v>
      </c>
      <c r="C120" s="131" t="s">
        <v>1372</v>
      </c>
      <c r="D120" s="196"/>
      <c r="E120" s="198">
        <f>OTCHET!$E407</f>
        <v>0</v>
      </c>
      <c r="F120" s="198">
        <f>OTCHET!$F407</f>
        <v>0</v>
      </c>
      <c r="G120" s="132">
        <f>OTCHET!$G407</f>
        <v>0</v>
      </c>
      <c r="H120" s="132">
        <f>OTCHET!$H407</f>
        <v>0</v>
      </c>
      <c r="I120" s="132">
        <f>OTCHET!$I407</f>
        <v>0</v>
      </c>
      <c r="J120" s="132">
        <f>OTCHET!$J407</f>
        <v>0</v>
      </c>
      <c r="K120" s="177">
        <f t="shared" si="2"/>
      </c>
      <c r="L120" s="80"/>
      <c r="M120" s="80"/>
      <c r="N120" s="80"/>
      <c r="O120" s="80"/>
      <c r="P120" s="80"/>
      <c r="Q120" s="80"/>
      <c r="R120" s="80"/>
      <c r="S120" s="80"/>
      <c r="T120" s="80"/>
    </row>
    <row r="121" spans="1:11" s="69" customFormat="1" ht="21.75" customHeight="1">
      <c r="A121" s="76">
        <v>215</v>
      </c>
      <c r="B121" s="70">
        <v>6600</v>
      </c>
      <c r="C121" s="2175" t="s">
        <v>593</v>
      </c>
      <c r="D121" s="2142"/>
      <c r="E121" s="192">
        <f>OTCHET!$E408</f>
        <v>0</v>
      </c>
      <c r="F121" s="193">
        <f>OTCHET!$F408</f>
        <v>0</v>
      </c>
      <c r="G121" s="122">
        <f>OTCHET!$G408</f>
        <v>0</v>
      </c>
      <c r="H121" s="122">
        <f>OTCHET!$H408</f>
        <v>0</v>
      </c>
      <c r="I121" s="122">
        <f>OTCHET!$I408</f>
        <v>0</v>
      </c>
      <c r="J121" s="122">
        <f>OTCHET!$J408</f>
        <v>0</v>
      </c>
      <c r="K121" s="177">
        <f t="shared" si="2"/>
      </c>
    </row>
    <row r="122" spans="1:11" s="69" customFormat="1" ht="21.75" customHeight="1">
      <c r="A122" s="76">
        <v>215</v>
      </c>
      <c r="B122" s="70">
        <v>6700</v>
      </c>
      <c r="C122" s="2175" t="s">
        <v>1343</v>
      </c>
      <c r="D122" s="2142"/>
      <c r="E122" s="192">
        <f>OTCHET!$E411</f>
        <v>0</v>
      </c>
      <c r="F122" s="193">
        <f>OTCHET!$F411</f>
        <v>0</v>
      </c>
      <c r="G122" s="122">
        <f>OTCHET!$G411</f>
        <v>0</v>
      </c>
      <c r="H122" s="122">
        <f>OTCHET!$H411</f>
        <v>0</v>
      </c>
      <c r="I122" s="122">
        <f>OTCHET!$I411</f>
        <v>0</v>
      </c>
      <c r="J122" s="122">
        <f>OTCHET!$J411</f>
        <v>0</v>
      </c>
      <c r="K122" s="177">
        <f t="shared" si="2"/>
      </c>
    </row>
    <row r="123" spans="1:11" s="69" customFormat="1" ht="22.5" customHeight="1" thickBot="1">
      <c r="A123" s="76">
        <v>230</v>
      </c>
      <c r="B123" s="70">
        <v>6900</v>
      </c>
      <c r="C123" s="2176" t="s">
        <v>1292</v>
      </c>
      <c r="D123" s="2177"/>
      <c r="E123" s="194">
        <f>OTCHET!$E414</f>
        <v>0</v>
      </c>
      <c r="F123" s="195">
        <f>OTCHET!$F414</f>
        <v>399095</v>
      </c>
      <c r="G123" s="124">
        <f>OTCHET!$G414</f>
        <v>0</v>
      </c>
      <c r="H123" s="124">
        <f>OTCHET!$H414</f>
        <v>0</v>
      </c>
      <c r="I123" s="124">
        <f>OTCHET!$I414</f>
        <v>0</v>
      </c>
      <c r="J123" s="124">
        <f>OTCHET!$J414</f>
        <v>399095</v>
      </c>
      <c r="K123" s="177">
        <f t="shared" si="2"/>
        <v>1</v>
      </c>
    </row>
    <row r="124" spans="1:11" ht="21.75" thickBot="1">
      <c r="A124" s="83">
        <v>260</v>
      </c>
      <c r="B124" s="84"/>
      <c r="C124" s="2183" t="s">
        <v>590</v>
      </c>
      <c r="D124" s="2184"/>
      <c r="E124" s="86">
        <f>OTCHET!$E421</f>
        <v>-16100000</v>
      </c>
      <c r="F124" s="86">
        <f>OTCHET!$F421</f>
        <v>-42350977</v>
      </c>
      <c r="G124" s="86">
        <f>OTCHET!$G421</f>
        <v>-42712144</v>
      </c>
      <c r="H124" s="86">
        <f>OTCHET!$H421</f>
        <v>0</v>
      </c>
      <c r="I124" s="86">
        <f>OTCHET!$I421</f>
        <v>0</v>
      </c>
      <c r="J124" s="86">
        <f>OTCHET!$J421</f>
        <v>361167</v>
      </c>
      <c r="K124" s="180">
        <v>1</v>
      </c>
    </row>
    <row r="125" spans="1:11" ht="21.75" thickBot="1">
      <c r="A125" s="83">
        <v>261</v>
      </c>
      <c r="B125" s="125"/>
      <c r="C125" s="2160" t="s">
        <v>591</v>
      </c>
      <c r="D125" s="2161"/>
      <c r="E125" s="126"/>
      <c r="F125" s="183"/>
      <c r="G125" s="183"/>
      <c r="H125" s="183"/>
      <c r="I125" s="183"/>
      <c r="J125" s="127"/>
      <c r="K125" s="180">
        <v>1</v>
      </c>
    </row>
    <row r="126" spans="1:11" ht="39" customHeight="1" thickBot="1">
      <c r="A126" s="83">
        <v>262</v>
      </c>
      <c r="B126" s="125" t="s">
        <v>937</v>
      </c>
      <c r="C126" s="2181" t="s">
        <v>1183</v>
      </c>
      <c r="D126" s="2182"/>
      <c r="E126" s="183"/>
      <c r="F126" s="183"/>
      <c r="G126" s="183"/>
      <c r="H126" s="183"/>
      <c r="I126" s="183"/>
      <c r="J126" s="127"/>
      <c r="K126" s="180">
        <v>1</v>
      </c>
    </row>
    <row r="127" spans="1:11" s="69" customFormat="1" ht="24" customHeight="1">
      <c r="A127" s="106">
        <v>265</v>
      </c>
      <c r="B127" s="70">
        <v>7400</v>
      </c>
      <c r="C127" s="2163" t="s">
        <v>1184</v>
      </c>
      <c r="D127" s="2164"/>
      <c r="E127" s="190">
        <f>OTCHET!$E424</f>
        <v>0</v>
      </c>
      <c r="F127" s="190">
        <f>OTCHET!$F424</f>
        <v>0</v>
      </c>
      <c r="G127" s="133">
        <f>OTCHET!$G424</f>
        <v>0</v>
      </c>
      <c r="H127" s="133">
        <f>OTCHET!$H424</f>
        <v>0</v>
      </c>
      <c r="I127" s="133">
        <f>OTCHET!$I424</f>
        <v>0</v>
      </c>
      <c r="J127" s="133">
        <f>OTCHET!$J424</f>
        <v>0</v>
      </c>
      <c r="K127" s="177">
        <f>(IF(E127&lt;&gt;0,$K$2,IF(F127&lt;&gt;0,$K$2,"")))</f>
      </c>
    </row>
    <row r="128" spans="1:11" s="69" customFormat="1" ht="21">
      <c r="A128" s="106">
        <v>275</v>
      </c>
      <c r="B128" s="70">
        <v>7500</v>
      </c>
      <c r="C128" s="2114" t="s">
        <v>1373</v>
      </c>
      <c r="D128" s="2115"/>
      <c r="E128" s="192">
        <f>OTCHET!$E425</f>
        <v>0</v>
      </c>
      <c r="F128" s="192">
        <f>OTCHET!$F425</f>
        <v>0</v>
      </c>
      <c r="G128" s="134">
        <f>OTCHET!$G425</f>
        <v>0</v>
      </c>
      <c r="H128" s="134">
        <f>OTCHET!$H425</f>
        <v>0</v>
      </c>
      <c r="I128" s="134">
        <f>OTCHET!$I425</f>
        <v>0</v>
      </c>
      <c r="J128" s="134">
        <f>OTCHET!$J425</f>
        <v>0</v>
      </c>
      <c r="K128" s="177">
        <f>(IF(E128&lt;&gt;0,$K$2,IF(F128&lt;&gt;0,$K$2,"")))</f>
      </c>
    </row>
    <row r="129" spans="1:11" s="69" customFormat="1" ht="30" customHeight="1">
      <c r="A129" s="76">
        <v>285</v>
      </c>
      <c r="B129" s="70">
        <v>7600</v>
      </c>
      <c r="C129" s="2122" t="s">
        <v>1293</v>
      </c>
      <c r="D129" s="2123"/>
      <c r="E129" s="192">
        <f>OTCHET!$E426</f>
        <v>0</v>
      </c>
      <c r="F129" s="192">
        <f>OTCHET!$F426</f>
        <v>0</v>
      </c>
      <c r="G129" s="134">
        <f>OTCHET!$G426</f>
        <v>0</v>
      </c>
      <c r="H129" s="134">
        <f>OTCHET!$H426</f>
        <v>0</v>
      </c>
      <c r="I129" s="134">
        <f>OTCHET!$I426</f>
        <v>0</v>
      </c>
      <c r="J129" s="134">
        <f>OTCHET!$J426</f>
        <v>0</v>
      </c>
      <c r="K129" s="177">
        <f>(IF(E129&lt;&gt;0,$K$2,IF(F129&lt;&gt;0,$K$2,"")))</f>
      </c>
    </row>
    <row r="130" spans="1:11" s="69" customFormat="1" ht="24" customHeight="1">
      <c r="A130" s="76">
        <v>295</v>
      </c>
      <c r="B130" s="70">
        <v>7700</v>
      </c>
      <c r="C130" s="2122" t="s">
        <v>1294</v>
      </c>
      <c r="D130" s="2152"/>
      <c r="E130" s="192">
        <f>OTCHET!$E427</f>
        <v>0</v>
      </c>
      <c r="F130" s="192">
        <f>OTCHET!$F427</f>
        <v>0</v>
      </c>
      <c r="G130" s="134">
        <f>OTCHET!$G427</f>
        <v>0</v>
      </c>
      <c r="H130" s="134">
        <f>OTCHET!$H427</f>
        <v>0</v>
      </c>
      <c r="I130" s="134">
        <f>OTCHET!$I427</f>
        <v>0</v>
      </c>
      <c r="J130" s="134">
        <f>OTCHET!$J427</f>
        <v>0</v>
      </c>
      <c r="K130" s="177">
        <f>(IF(E130&lt;&gt;0,$K$2,IF(F130&lt;&gt;0,$K$2,"")))</f>
      </c>
    </row>
    <row r="131" spans="1:11" s="110" customFormat="1" ht="39.75" customHeight="1" thickBot="1">
      <c r="A131" s="76">
        <v>305</v>
      </c>
      <c r="B131" s="109">
        <v>7800</v>
      </c>
      <c r="C131" s="2171" t="s">
        <v>1544</v>
      </c>
      <c r="D131" s="2172"/>
      <c r="E131" s="192">
        <f>OTCHET!$E428</f>
        <v>0</v>
      </c>
      <c r="F131" s="192">
        <f>OTCHET!$F428</f>
        <v>0</v>
      </c>
      <c r="G131" s="134">
        <f>OTCHET!$G428</f>
        <v>0</v>
      </c>
      <c r="H131" s="134">
        <f>OTCHET!$H428</f>
        <v>0</v>
      </c>
      <c r="I131" s="134">
        <f>OTCHET!$I428</f>
        <v>0</v>
      </c>
      <c r="J131" s="134">
        <f>OTCHET!$J428</f>
        <v>0</v>
      </c>
      <c r="K131" s="177">
        <f>(IF(E131&lt;&gt;0,$K$2,IF(F131&lt;&gt;0,$K$2,"")))</f>
      </c>
    </row>
    <row r="132" spans="1:11" ht="21.75" thickBot="1">
      <c r="A132" s="116">
        <v>315</v>
      </c>
      <c r="B132" s="84"/>
      <c r="C132" s="2183" t="s">
        <v>1182</v>
      </c>
      <c r="D132" s="2184"/>
      <c r="E132" s="86">
        <f>OTCHET!$E431</f>
        <v>0</v>
      </c>
      <c r="F132" s="86">
        <f>OTCHET!$F431</f>
        <v>0</v>
      </c>
      <c r="G132" s="86">
        <f>OTCHET!$G431</f>
        <v>0</v>
      </c>
      <c r="H132" s="86">
        <f>OTCHET!$H431</f>
        <v>0</v>
      </c>
      <c r="I132" s="86">
        <f>OTCHET!$I431</f>
        <v>0</v>
      </c>
      <c r="J132" s="86">
        <f>OTCHET!$J431</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132" t="str">
        <f>$B$7</f>
        <v>ОТЧЕТНИ ДАННИ ПО ЕБК ЗА ИЗПЪЛНЕНИЕТО НА БЮДЖЕТА</v>
      </c>
      <c r="C136" s="2133"/>
      <c r="D136" s="2133"/>
      <c r="E136" s="92"/>
      <c r="F136" s="92"/>
      <c r="K136" s="180">
        <v>1</v>
      </c>
    </row>
    <row r="137" spans="1:11" ht="21">
      <c r="A137" s="116"/>
      <c r="C137" s="49"/>
      <c r="D137" s="50"/>
      <c r="E137" s="93" t="s">
        <v>983</v>
      </c>
      <c r="F137" s="93" t="s">
        <v>889</v>
      </c>
      <c r="K137" s="180">
        <v>1</v>
      </c>
    </row>
    <row r="138" spans="1:11" ht="38.25" customHeight="1" thickBot="1">
      <c r="A138" s="116"/>
      <c r="B138" s="2134" t="str">
        <f>$B$9</f>
        <v>КОМИСИЯ ЗА РЕГУЛИРАНЕ НА СЪОБЩЕНИЯТА</v>
      </c>
      <c r="C138" s="2135"/>
      <c r="D138" s="2135"/>
      <c r="E138" s="95">
        <f>$E$9</f>
        <v>43101</v>
      </c>
      <c r="F138" s="96">
        <f>$F$9</f>
        <v>43190</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134" t="str">
        <f>$B$12</f>
        <v>Комисия за регулиране на съобщенията</v>
      </c>
      <c r="C141" s="2135"/>
      <c r="D141" s="2135"/>
      <c r="E141" s="92" t="s">
        <v>984</v>
      </c>
      <c r="F141" s="99" t="str">
        <f>$F$12</f>
        <v>4300</v>
      </c>
      <c r="K141" s="180">
        <v>1</v>
      </c>
    </row>
    <row r="142" spans="1:11" ht="21.75" thickTop="1">
      <c r="A142" s="116"/>
      <c r="B142" s="54" t="str">
        <f>$B$13</f>
        <v>                                             (наименование на първостепенния разпоредител с бюджет)</v>
      </c>
      <c r="E142" s="98" t="s">
        <v>985</v>
      </c>
      <c r="F142" s="92"/>
      <c r="K142" s="180">
        <v>1</v>
      </c>
    </row>
    <row r="143" spans="1:11" ht="21">
      <c r="A143" s="116"/>
      <c r="B143" s="54"/>
      <c r="E143" s="92"/>
      <c r="F143" s="92"/>
      <c r="K143" s="180">
        <v>1</v>
      </c>
    </row>
    <row r="144" spans="1:11" ht="21.75" thickBot="1">
      <c r="A144" s="116"/>
      <c r="C144" s="49"/>
      <c r="D144" s="50"/>
      <c r="F144" s="54"/>
      <c r="J144" s="54" t="s">
        <v>986</v>
      </c>
      <c r="K144" s="180">
        <v>1</v>
      </c>
    </row>
    <row r="145" spans="1:11" ht="21.75" thickBot="1">
      <c r="A145" s="116"/>
      <c r="B145" s="136"/>
      <c r="C145" s="137"/>
      <c r="D145" s="138" t="s">
        <v>1234</v>
      </c>
      <c r="E145" s="61" t="s">
        <v>988</v>
      </c>
      <c r="F145" s="287" t="s">
        <v>989</v>
      </c>
      <c r="G145" s="203"/>
      <c r="H145" s="203"/>
      <c r="I145" s="203"/>
      <c r="J145" s="65"/>
      <c r="K145" s="180">
        <v>1</v>
      </c>
    </row>
    <row r="146" spans="1:11" ht="45.75" thickBot="1">
      <c r="A146" s="116"/>
      <c r="B146" s="139"/>
      <c r="C146" s="139"/>
      <c r="D146" s="140" t="s">
        <v>1185</v>
      </c>
      <c r="E146" s="63">
        <v>2017</v>
      </c>
      <c r="F146" s="174" t="s">
        <v>1351</v>
      </c>
      <c r="G146" s="174" t="s">
        <v>1401</v>
      </c>
      <c r="H146" s="174" t="s">
        <v>1402</v>
      </c>
      <c r="I146" s="288" t="s">
        <v>1230</v>
      </c>
      <c r="J146" s="289" t="s">
        <v>1231</v>
      </c>
      <c r="K146" s="180">
        <v>1</v>
      </c>
    </row>
    <row r="147" spans="1:11" ht="21.75" thickBot="1">
      <c r="A147" s="116"/>
      <c r="B147" s="141"/>
      <c r="C147" s="142"/>
      <c r="D147" s="143" t="s">
        <v>1235</v>
      </c>
      <c r="E147" s="16" t="s">
        <v>604</v>
      </c>
      <c r="F147" s="16" t="s">
        <v>605</v>
      </c>
      <c r="G147" s="16" t="s">
        <v>1365</v>
      </c>
      <c r="H147" s="210" t="s">
        <v>1366</v>
      </c>
      <c r="I147" s="16" t="s">
        <v>1339</v>
      </c>
      <c r="J147" s="210" t="s">
        <v>1232</v>
      </c>
      <c r="K147" s="180">
        <v>1</v>
      </c>
    </row>
    <row r="148" spans="1:11" ht="21.75" thickBot="1">
      <c r="A148" s="116"/>
      <c r="B148" s="144"/>
      <c r="C148" s="145"/>
      <c r="D148" s="146"/>
      <c r="E148" s="147">
        <f aca="true" t="shared" si="3" ref="E148:J148">+E49-E96+E124+E132</f>
        <v>37430800</v>
      </c>
      <c r="F148" s="147">
        <f t="shared" si="3"/>
        <v>17495</v>
      </c>
      <c r="G148" s="147">
        <f t="shared" si="3"/>
        <v>56109</v>
      </c>
      <c r="H148" s="147">
        <f t="shared" si="3"/>
        <v>0</v>
      </c>
      <c r="I148" s="147">
        <f t="shared" si="3"/>
        <v>-38614</v>
      </c>
      <c r="J148" s="147">
        <f t="shared" si="3"/>
        <v>0</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132" t="str">
        <f>$B$7</f>
        <v>ОТЧЕТНИ ДАННИ ПО ЕБК ЗА ИЗПЪЛНЕНИЕТО НА БЮДЖЕТА</v>
      </c>
      <c r="C152" s="2133"/>
      <c r="D152" s="2133"/>
      <c r="E152" s="92"/>
      <c r="F152" s="92"/>
      <c r="K152" s="180">
        <v>1</v>
      </c>
    </row>
    <row r="153" spans="1:11" ht="21">
      <c r="A153" s="116"/>
      <c r="C153" s="49"/>
      <c r="D153" s="50"/>
      <c r="E153" s="93" t="s">
        <v>983</v>
      </c>
      <c r="F153" s="93" t="s">
        <v>889</v>
      </c>
      <c r="K153" s="180">
        <v>1</v>
      </c>
    </row>
    <row r="154" spans="1:11" ht="38.25" customHeight="1" thickBot="1">
      <c r="A154" s="116"/>
      <c r="B154" s="2134" t="str">
        <f>$B$9</f>
        <v>КОМИСИЯ ЗА РЕГУЛИРАНЕ НА СЪОБЩЕНИЯТА</v>
      </c>
      <c r="C154" s="2135"/>
      <c r="D154" s="2135"/>
      <c r="E154" s="95">
        <f>$E$9</f>
        <v>43101</v>
      </c>
      <c r="F154" s="96">
        <f>$F$9</f>
        <v>43190</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134" t="str">
        <f>$B$12</f>
        <v>Комисия за регулиране на съобщенията</v>
      </c>
      <c r="C157" s="2135"/>
      <c r="D157" s="2135"/>
      <c r="E157" s="92" t="s">
        <v>984</v>
      </c>
      <c r="F157" s="99" t="str">
        <f>$F$12</f>
        <v>4300</v>
      </c>
      <c r="K157" s="180">
        <v>1</v>
      </c>
    </row>
    <row r="158" spans="1:11" ht="21.75" thickTop="1">
      <c r="A158" s="116"/>
      <c r="B158" s="54" t="str">
        <f>$B$13</f>
        <v>                                             (наименование на първостепенния разпоредител с бюджет)</v>
      </c>
      <c r="E158" s="98" t="s">
        <v>985</v>
      </c>
      <c r="F158" s="92"/>
      <c r="K158" s="180">
        <v>1</v>
      </c>
    </row>
    <row r="159" spans="1:11" ht="21">
      <c r="A159" s="116"/>
      <c r="B159" s="54"/>
      <c r="E159" s="92"/>
      <c r="F159" s="92"/>
      <c r="K159" s="180">
        <v>1</v>
      </c>
    </row>
    <row r="160" spans="1:11" ht="21.75" thickBot="1">
      <c r="A160" s="116"/>
      <c r="C160" s="49"/>
      <c r="D160" s="50"/>
      <c r="F160" s="54"/>
      <c r="J160" s="54" t="s">
        <v>986</v>
      </c>
      <c r="K160" s="180">
        <v>1</v>
      </c>
    </row>
    <row r="161" spans="1:11" ht="21.75" thickBot="1">
      <c r="A161" s="116"/>
      <c r="B161" s="125"/>
      <c r="C161" s="2165" t="s">
        <v>1337</v>
      </c>
      <c r="D161" s="2127"/>
      <c r="E161" s="61" t="s">
        <v>988</v>
      </c>
      <c r="F161" s="287" t="s">
        <v>989</v>
      </c>
      <c r="G161" s="203"/>
      <c r="H161" s="203"/>
      <c r="I161" s="203"/>
      <c r="J161" s="65"/>
      <c r="K161" s="180">
        <v>1</v>
      </c>
    </row>
    <row r="162" spans="1:11" ht="45.75" thickBot="1">
      <c r="A162" s="116"/>
      <c r="B162" s="125" t="s">
        <v>937</v>
      </c>
      <c r="C162" s="2126" t="s">
        <v>1370</v>
      </c>
      <c r="D162" s="2125"/>
      <c r="E162" s="63">
        <v>2017</v>
      </c>
      <c r="F162" s="174" t="s">
        <v>1351</v>
      </c>
      <c r="G162" s="174" t="s">
        <v>1401</v>
      </c>
      <c r="H162" s="174" t="s">
        <v>1402</v>
      </c>
      <c r="I162" s="288" t="s">
        <v>1230</v>
      </c>
      <c r="J162" s="289" t="s">
        <v>1231</v>
      </c>
      <c r="K162" s="180">
        <v>1</v>
      </c>
    </row>
    <row r="163" spans="1:11" ht="21.75" thickBot="1">
      <c r="A163" s="116">
        <v>1</v>
      </c>
      <c r="B163" s="152"/>
      <c r="C163" s="2206" t="s">
        <v>1338</v>
      </c>
      <c r="D163" s="2161"/>
      <c r="E163" s="16" t="s">
        <v>604</v>
      </c>
      <c r="F163" s="16" t="s">
        <v>605</v>
      </c>
      <c r="G163" s="16" t="s">
        <v>1365</v>
      </c>
      <c r="H163" s="210" t="s">
        <v>1366</v>
      </c>
      <c r="I163" s="16" t="s">
        <v>1339</v>
      </c>
      <c r="J163" s="210" t="s">
        <v>1232</v>
      </c>
      <c r="K163" s="180">
        <v>1</v>
      </c>
    </row>
    <row r="164" spans="1:11" s="69" customFormat="1" ht="18.75" customHeight="1">
      <c r="A164" s="76">
        <v>5</v>
      </c>
      <c r="B164" s="67">
        <v>7000</v>
      </c>
      <c r="C164" s="2178" t="s">
        <v>1186</v>
      </c>
      <c r="D164" s="2151"/>
      <c r="E164" s="190">
        <f>OTCHET!$E463</f>
        <v>0</v>
      </c>
      <c r="F164" s="191">
        <f>OTCHET!$F463</f>
        <v>0</v>
      </c>
      <c r="G164" s="121">
        <f>OTCHET!$G463</f>
        <v>0</v>
      </c>
      <c r="H164" s="121">
        <f>OTCHET!$H463</f>
        <v>0</v>
      </c>
      <c r="I164" s="121">
        <f>OTCHET!$I463</f>
        <v>0</v>
      </c>
      <c r="J164" s="121">
        <f>OTCHET!$J463</f>
        <v>0</v>
      </c>
      <c r="K164" s="177">
        <f aca="true" t="shared" si="4" ref="K164:K184">(IF(E164&lt;&gt;0,$K$2,IF(F164&lt;&gt;0,$K$2,"")))</f>
      </c>
    </row>
    <row r="165" spans="1:11" s="69" customFormat="1" ht="21">
      <c r="A165" s="76">
        <v>30</v>
      </c>
      <c r="B165" s="70">
        <v>7100</v>
      </c>
      <c r="C165" s="2148" t="s">
        <v>1189</v>
      </c>
      <c r="D165" s="2149"/>
      <c r="E165" s="192">
        <f>OTCHET!$E467</f>
        <v>0</v>
      </c>
      <c r="F165" s="193">
        <f>OTCHET!$F467</f>
        <v>0</v>
      </c>
      <c r="G165" s="122">
        <f>OTCHET!$G467</f>
        <v>0</v>
      </c>
      <c r="H165" s="122">
        <f>OTCHET!$H467</f>
        <v>0</v>
      </c>
      <c r="I165" s="122">
        <f>OTCHET!$I467</f>
        <v>0</v>
      </c>
      <c r="J165" s="122">
        <f>OTCHET!$J467</f>
        <v>0</v>
      </c>
      <c r="K165" s="177">
        <f t="shared" si="4"/>
      </c>
    </row>
    <row r="166" spans="1:11" s="69" customFormat="1" ht="21">
      <c r="A166" s="76">
        <v>45</v>
      </c>
      <c r="B166" s="70">
        <v>7200</v>
      </c>
      <c r="C166" s="2148" t="s">
        <v>2112</v>
      </c>
      <c r="D166" s="2149"/>
      <c r="E166" s="192">
        <f>OTCHET!$E470</f>
        <v>0</v>
      </c>
      <c r="F166" s="193">
        <f>OTCHET!$F470</f>
        <v>0</v>
      </c>
      <c r="G166" s="122">
        <f>OTCHET!$G470</f>
        <v>0</v>
      </c>
      <c r="H166" s="122">
        <f>OTCHET!$H470</f>
        <v>0</v>
      </c>
      <c r="I166" s="122">
        <f>OTCHET!$I470</f>
        <v>0</v>
      </c>
      <c r="J166" s="122">
        <f>OTCHET!$J470</f>
        <v>0</v>
      </c>
      <c r="K166" s="177">
        <f t="shared" si="4"/>
      </c>
    </row>
    <row r="167" spans="1:11" s="69" customFormat="1" ht="33" customHeight="1">
      <c r="A167" s="76">
        <v>60</v>
      </c>
      <c r="B167" s="70">
        <v>7300</v>
      </c>
      <c r="C167" s="2141" t="s">
        <v>1192</v>
      </c>
      <c r="D167" s="2142"/>
      <c r="E167" s="192">
        <f>OTCHET!$E473</f>
        <v>0</v>
      </c>
      <c r="F167" s="193">
        <f>OTCHET!$F473</f>
        <v>0</v>
      </c>
      <c r="G167" s="122">
        <f>OTCHET!$G473</f>
        <v>0</v>
      </c>
      <c r="H167" s="122">
        <f>OTCHET!$H473</f>
        <v>0</v>
      </c>
      <c r="I167" s="122">
        <f>OTCHET!$I473</f>
        <v>0</v>
      </c>
      <c r="J167" s="122">
        <f>OTCHET!$J473</f>
        <v>0</v>
      </c>
      <c r="K167" s="177">
        <f t="shared" si="4"/>
      </c>
    </row>
    <row r="168" spans="1:65" s="129" customFormat="1" ht="33.75" customHeight="1">
      <c r="A168" s="77">
        <v>110</v>
      </c>
      <c r="B168" s="70">
        <v>7900</v>
      </c>
      <c r="C168" s="2185" t="s">
        <v>1199</v>
      </c>
      <c r="D168" s="2186"/>
      <c r="E168" s="198">
        <f>OTCHET!$E480</f>
        <v>0</v>
      </c>
      <c r="F168" s="199">
        <f>OTCHET!$F480</f>
        <v>0</v>
      </c>
      <c r="G168" s="153">
        <f>OTCHET!$G480</f>
        <v>0</v>
      </c>
      <c r="H168" s="153">
        <f>OTCHET!$H480</f>
        <v>0</v>
      </c>
      <c r="I168" s="153">
        <f>OTCHET!$I480</f>
        <v>0</v>
      </c>
      <c r="J168" s="153">
        <f>OTCHET!$J480</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28" t="s">
        <v>1374</v>
      </c>
      <c r="D169" s="2129"/>
      <c r="E169" s="192">
        <f>OTCHET!$E483</f>
        <v>0</v>
      </c>
      <c r="F169" s="193">
        <f>OTCHET!$F483</f>
        <v>0</v>
      </c>
      <c r="G169" s="122">
        <f>OTCHET!$G483</f>
        <v>0</v>
      </c>
      <c r="H169" s="122">
        <f>OTCHET!$H483</f>
        <v>0</v>
      </c>
      <c r="I169" s="122">
        <f>OTCHET!$I483</f>
        <v>0</v>
      </c>
      <c r="J169" s="122">
        <f>OTCHET!$J483</f>
        <v>0</v>
      </c>
      <c r="K169" s="177">
        <f t="shared" si="4"/>
      </c>
    </row>
    <row r="170" spans="1:11" s="69" customFormat="1" ht="33" customHeight="1">
      <c r="A170" s="76">
        <v>220</v>
      </c>
      <c r="B170" s="70">
        <v>8100</v>
      </c>
      <c r="C170" s="2122" t="s">
        <v>1375</v>
      </c>
      <c r="D170" s="2152"/>
      <c r="E170" s="192">
        <f>OTCHET!$E499</f>
        <v>0</v>
      </c>
      <c r="F170" s="193">
        <f>OTCHET!$F499</f>
        <v>0</v>
      </c>
      <c r="G170" s="122">
        <f>OTCHET!$G499</f>
        <v>0</v>
      </c>
      <c r="H170" s="122">
        <f>OTCHET!$H499</f>
        <v>0</v>
      </c>
      <c r="I170" s="122">
        <f>OTCHET!$I499</f>
        <v>0</v>
      </c>
      <c r="J170" s="122">
        <f>OTCHET!$J499</f>
        <v>0</v>
      </c>
      <c r="K170" s="177">
        <f t="shared" si="4"/>
      </c>
    </row>
    <row r="171" spans="1:11" s="69" customFormat="1" ht="23.25" customHeight="1">
      <c r="A171" s="76">
        <v>245</v>
      </c>
      <c r="B171" s="70">
        <v>8200</v>
      </c>
      <c r="C171" s="2122" t="s">
        <v>94</v>
      </c>
      <c r="D171" s="2152"/>
      <c r="E171" s="198">
        <f>OTCHET!$E504</f>
        <v>0</v>
      </c>
      <c r="F171" s="198">
        <f>OTCHET!$F504</f>
        <v>0</v>
      </c>
      <c r="G171" s="132">
        <f>OTCHET!$G504</f>
        <v>0</v>
      </c>
      <c r="H171" s="132">
        <f>OTCHET!$H504</f>
        <v>0</v>
      </c>
      <c r="I171" s="132">
        <f>OTCHET!$I504</f>
        <v>0</v>
      </c>
      <c r="J171" s="132">
        <f>OTCHET!$J504</f>
        <v>0</v>
      </c>
      <c r="K171" s="177">
        <f t="shared" si="4"/>
      </c>
    </row>
    <row r="172" spans="1:11" s="69" customFormat="1" ht="21">
      <c r="A172" s="76">
        <v>255</v>
      </c>
      <c r="B172" s="70">
        <v>8300</v>
      </c>
      <c r="C172" s="2114" t="s">
        <v>1376</v>
      </c>
      <c r="D172" s="2115"/>
      <c r="E172" s="192">
        <f>OTCHET!$E505</f>
        <v>0</v>
      </c>
      <c r="F172" s="193">
        <f>OTCHET!$F505</f>
        <v>0</v>
      </c>
      <c r="G172" s="122">
        <f>OTCHET!$G505</f>
        <v>0</v>
      </c>
      <c r="H172" s="122">
        <f>OTCHET!$H505</f>
        <v>0</v>
      </c>
      <c r="I172" s="122">
        <f>OTCHET!$I505</f>
        <v>0</v>
      </c>
      <c r="J172" s="122">
        <f>OTCHET!$J505</f>
        <v>0</v>
      </c>
      <c r="K172" s="177">
        <f t="shared" si="4"/>
      </c>
    </row>
    <row r="173" spans="1:11" s="69" customFormat="1" ht="21">
      <c r="A173" s="76">
        <v>295</v>
      </c>
      <c r="B173" s="70">
        <v>8500</v>
      </c>
      <c r="C173" s="2128" t="s">
        <v>103</v>
      </c>
      <c r="D173" s="2129"/>
      <c r="E173" s="192">
        <f>OTCHET!$E514</f>
        <v>0</v>
      </c>
      <c r="F173" s="193">
        <f>OTCHET!$F514</f>
        <v>0</v>
      </c>
      <c r="G173" s="122">
        <f>OTCHET!$G514</f>
        <v>0</v>
      </c>
      <c r="H173" s="122">
        <f>OTCHET!$H514</f>
        <v>0</v>
      </c>
      <c r="I173" s="122">
        <f>OTCHET!$I514</f>
        <v>0</v>
      </c>
      <c r="J173" s="122">
        <f>OTCHET!$J514</f>
        <v>0</v>
      </c>
      <c r="K173" s="177">
        <f t="shared" si="4"/>
      </c>
    </row>
    <row r="174" spans="1:11" s="69" customFormat="1" ht="21">
      <c r="A174" s="76">
        <v>315</v>
      </c>
      <c r="B174" s="70">
        <v>8600</v>
      </c>
      <c r="C174" s="2128" t="s">
        <v>1693</v>
      </c>
      <c r="D174" s="2129"/>
      <c r="E174" s="192">
        <f>OTCHET!$E518</f>
        <v>0</v>
      </c>
      <c r="F174" s="193">
        <f>OTCHET!$F518</f>
        <v>0</v>
      </c>
      <c r="G174" s="122">
        <f>OTCHET!$G518</f>
        <v>0</v>
      </c>
      <c r="H174" s="122">
        <f>OTCHET!$H518</f>
        <v>0</v>
      </c>
      <c r="I174" s="122">
        <f>OTCHET!$I518</f>
        <v>0</v>
      </c>
      <c r="J174" s="122">
        <f>OTCHET!$J518</f>
        <v>0</v>
      </c>
      <c r="K174" s="177">
        <f t="shared" si="4"/>
      </c>
    </row>
    <row r="175" spans="1:11" s="69" customFormat="1" ht="30" customHeight="1">
      <c r="A175" s="76">
        <v>355</v>
      </c>
      <c r="B175" s="70">
        <v>8700</v>
      </c>
      <c r="C175" s="2122" t="s">
        <v>610</v>
      </c>
      <c r="D175" s="2152"/>
      <c r="E175" s="192">
        <f>OTCHET!$E523</f>
        <v>0</v>
      </c>
      <c r="F175" s="193">
        <f>OTCHET!$F523</f>
        <v>0</v>
      </c>
      <c r="G175" s="122">
        <f>OTCHET!$G523</f>
        <v>0</v>
      </c>
      <c r="H175" s="122">
        <f>OTCHET!$H523</f>
        <v>0</v>
      </c>
      <c r="I175" s="122">
        <f>OTCHET!$I523</f>
        <v>0</v>
      </c>
      <c r="J175" s="122">
        <f>OTCHET!$J523</f>
        <v>0</v>
      </c>
      <c r="K175" s="177">
        <f t="shared" si="4"/>
      </c>
    </row>
    <row r="176" spans="1:11" s="69" customFormat="1" ht="30" customHeight="1">
      <c r="A176" s="76">
        <v>355</v>
      </c>
      <c r="B176" s="70">
        <v>8800</v>
      </c>
      <c r="C176" s="2122" t="s">
        <v>1213</v>
      </c>
      <c r="D176" s="2152"/>
      <c r="E176" s="192">
        <f>OTCHET!$E526</f>
        <v>0</v>
      </c>
      <c r="F176" s="193">
        <f>OTCHET!$F526</f>
        <v>0</v>
      </c>
      <c r="G176" s="122">
        <f>OTCHET!$G526</f>
        <v>0</v>
      </c>
      <c r="H176" s="122">
        <f>OTCHET!$H526</f>
        <v>0</v>
      </c>
      <c r="I176" s="122">
        <f>OTCHET!$I526</f>
        <v>0</v>
      </c>
      <c r="J176" s="122">
        <f>OTCHET!$J526</f>
        <v>0</v>
      </c>
      <c r="K176" s="177">
        <f t="shared" si="4"/>
      </c>
    </row>
    <row r="177" spans="1:11" s="69" customFormat="1" ht="33.75" customHeight="1">
      <c r="A177" s="76">
        <v>375</v>
      </c>
      <c r="B177" s="70">
        <v>8900</v>
      </c>
      <c r="C177" s="2175" t="s">
        <v>1040</v>
      </c>
      <c r="D177" s="2142"/>
      <c r="E177" s="192">
        <f>OTCHET!$E533</f>
        <v>0</v>
      </c>
      <c r="F177" s="193">
        <f>OTCHET!$F533</f>
        <v>0</v>
      </c>
      <c r="G177" s="122">
        <f>OTCHET!$G533</f>
        <v>0</v>
      </c>
      <c r="H177" s="122">
        <f>OTCHET!$H533</f>
        <v>0</v>
      </c>
      <c r="I177" s="122">
        <f>OTCHET!$I533</f>
        <v>0</v>
      </c>
      <c r="J177" s="122">
        <f>OTCHET!$J533</f>
        <v>0</v>
      </c>
      <c r="K177" s="177">
        <f t="shared" si="4"/>
      </c>
    </row>
    <row r="178" spans="1:11" s="69" customFormat="1" ht="21">
      <c r="A178" s="76">
        <v>395</v>
      </c>
      <c r="B178" s="70">
        <v>9000</v>
      </c>
      <c r="C178" s="2128" t="s">
        <v>1701</v>
      </c>
      <c r="D178" s="2129"/>
      <c r="E178" s="198">
        <f>OTCHET!$E537</f>
        <v>0</v>
      </c>
      <c r="F178" s="198">
        <f>OTCHET!$F537</f>
        <v>0</v>
      </c>
      <c r="G178" s="132">
        <f>OTCHET!$G537</f>
        <v>0</v>
      </c>
      <c r="H178" s="132">
        <f>OTCHET!$H537</f>
        <v>0</v>
      </c>
      <c r="I178" s="132">
        <f>OTCHET!$I537</f>
        <v>0</v>
      </c>
      <c r="J178" s="132">
        <f>OTCHET!$J537</f>
        <v>0</v>
      </c>
      <c r="K178" s="177">
        <f t="shared" si="4"/>
      </c>
    </row>
    <row r="179" spans="1:11" s="69" customFormat="1" ht="33" customHeight="1">
      <c r="A179" s="76">
        <v>405</v>
      </c>
      <c r="B179" s="70">
        <v>9100</v>
      </c>
      <c r="C179" s="2175" t="s">
        <v>1214</v>
      </c>
      <c r="D179" s="2179"/>
      <c r="E179" s="192">
        <f>OTCHET!$E538</f>
        <v>0</v>
      </c>
      <c r="F179" s="193">
        <f>OTCHET!$F538</f>
        <v>0</v>
      </c>
      <c r="G179" s="122">
        <f>OTCHET!$G538</f>
        <v>0</v>
      </c>
      <c r="H179" s="122">
        <f>OTCHET!$H538</f>
        <v>0</v>
      </c>
      <c r="I179" s="122">
        <f>OTCHET!$I538</f>
        <v>0</v>
      </c>
      <c r="J179" s="122">
        <f>OTCHET!$J538</f>
        <v>0</v>
      </c>
      <c r="K179" s="177">
        <f t="shared" si="4"/>
      </c>
    </row>
    <row r="180" spans="1:11" s="69" customFormat="1" ht="31.5" customHeight="1">
      <c r="A180" s="76">
        <v>430</v>
      </c>
      <c r="B180" s="70">
        <v>9200</v>
      </c>
      <c r="C180" s="2191" t="s">
        <v>1377</v>
      </c>
      <c r="D180" s="2152"/>
      <c r="E180" s="192">
        <f>OTCHET!$E543</f>
        <v>0</v>
      </c>
      <c r="F180" s="193">
        <f>OTCHET!$F543</f>
        <v>0</v>
      </c>
      <c r="G180" s="122">
        <f>OTCHET!$G543</f>
        <v>0</v>
      </c>
      <c r="H180" s="122">
        <f>OTCHET!$H543</f>
        <v>0</v>
      </c>
      <c r="I180" s="122">
        <f>OTCHET!$I543</f>
        <v>0</v>
      </c>
      <c r="J180" s="122">
        <f>OTCHET!$J543</f>
        <v>0</v>
      </c>
      <c r="K180" s="177">
        <f t="shared" si="4"/>
      </c>
    </row>
    <row r="181" spans="1:11" s="69" customFormat="1" ht="21">
      <c r="A181" s="106">
        <v>445</v>
      </c>
      <c r="B181" s="70">
        <v>9300</v>
      </c>
      <c r="C181" s="2128" t="s">
        <v>1378</v>
      </c>
      <c r="D181" s="2129"/>
      <c r="E181" s="192">
        <f>OTCHET!$E546</f>
        <v>0</v>
      </c>
      <c r="F181" s="193">
        <f>OTCHET!$F546</f>
        <v>0</v>
      </c>
      <c r="G181" s="122">
        <f>OTCHET!$G546</f>
        <v>0</v>
      </c>
      <c r="H181" s="122">
        <f>OTCHET!$H546</f>
        <v>0</v>
      </c>
      <c r="I181" s="122">
        <f>OTCHET!$I546</f>
        <v>0</v>
      </c>
      <c r="J181" s="122">
        <f>OTCHET!$J546</f>
        <v>0</v>
      </c>
      <c r="K181" s="177">
        <f t="shared" si="4"/>
      </c>
    </row>
    <row r="182" spans="1:11" s="69" customFormat="1" ht="31.5" customHeight="1">
      <c r="A182" s="106">
        <v>470</v>
      </c>
      <c r="B182" s="70">
        <v>9500</v>
      </c>
      <c r="C182" s="2191" t="s">
        <v>1379</v>
      </c>
      <c r="D182" s="2192"/>
      <c r="E182" s="192">
        <f>OTCHET!$E568</f>
        <v>-37430800</v>
      </c>
      <c r="F182" s="193">
        <f>OTCHET!$F568</f>
        <v>-17495</v>
      </c>
      <c r="G182" s="122">
        <f>OTCHET!$G568</f>
        <v>0</v>
      </c>
      <c r="H182" s="122">
        <f>OTCHET!$H568</f>
        <v>0</v>
      </c>
      <c r="I182" s="122">
        <f>OTCHET!$I568</f>
        <v>-17495</v>
      </c>
      <c r="J182" s="122">
        <f>OTCHET!$J568</f>
        <v>0</v>
      </c>
      <c r="K182" s="177">
        <f t="shared" si="4"/>
        <v>1</v>
      </c>
    </row>
    <row r="183" spans="1:11" s="69" customFormat="1" ht="35.25" customHeight="1">
      <c r="A183" s="106">
        <v>565</v>
      </c>
      <c r="B183" s="70">
        <v>9600</v>
      </c>
      <c r="C183" s="2191" t="s">
        <v>1380</v>
      </c>
      <c r="D183" s="2152"/>
      <c r="E183" s="192">
        <f>OTCHET!$E588</f>
        <v>0</v>
      </c>
      <c r="F183" s="193">
        <f>OTCHET!$F588</f>
        <v>0</v>
      </c>
      <c r="G183" s="122">
        <f>OTCHET!$G588</f>
        <v>0</v>
      </c>
      <c r="H183" s="122">
        <f>OTCHET!$H588</f>
        <v>0</v>
      </c>
      <c r="I183" s="122">
        <f>OTCHET!$I588</f>
        <v>0</v>
      </c>
      <c r="J183" s="122">
        <f>OTCHET!$J588</f>
        <v>0</v>
      </c>
      <c r="K183" s="177">
        <f t="shared" si="4"/>
      </c>
    </row>
    <row r="184" spans="1:11" s="69" customFormat="1" ht="35.25" customHeight="1" thickBot="1">
      <c r="A184" s="106">
        <v>575</v>
      </c>
      <c r="B184" s="70">
        <v>9800</v>
      </c>
      <c r="C184" s="2207" t="s">
        <v>884</v>
      </c>
      <c r="D184" s="2170"/>
      <c r="E184" s="194">
        <f>OTCHET!$E593</f>
        <v>0</v>
      </c>
      <c r="F184" s="195">
        <f>OTCHET!$F593</f>
        <v>0</v>
      </c>
      <c r="G184" s="124">
        <f>OTCHET!$G593</f>
        <v>-56109</v>
      </c>
      <c r="H184" s="124">
        <f>OTCHET!$H593</f>
        <v>0</v>
      </c>
      <c r="I184" s="124">
        <f>OTCHET!$I593</f>
        <v>56109</v>
      </c>
      <c r="J184" s="124">
        <f>OTCHET!$J593</f>
        <v>0</v>
      </c>
      <c r="K184" s="177">
        <f t="shared" si="4"/>
      </c>
    </row>
    <row r="185" spans="1:11" ht="21.75" thickBot="1">
      <c r="A185" s="116">
        <v>610</v>
      </c>
      <c r="B185" s="159"/>
      <c r="C185" s="2126" t="s">
        <v>1236</v>
      </c>
      <c r="D185" s="2125"/>
      <c r="E185" s="86">
        <f>OTCHET!$E599</f>
        <v>-37430800</v>
      </c>
      <c r="F185" s="86">
        <f>OTCHET!$F599</f>
        <v>-17495</v>
      </c>
      <c r="G185" s="86">
        <f>OTCHET!$G599</f>
        <v>-56109</v>
      </c>
      <c r="H185" s="86">
        <f>OTCHET!$H599</f>
        <v>0</v>
      </c>
      <c r="I185" s="86">
        <f>OTCHET!$I599</f>
        <v>38614</v>
      </c>
      <c r="J185" s="86">
        <f>OTCHET!$J599</f>
        <v>0</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132" t="str">
        <f>$B$7</f>
        <v>ОТЧЕТНИ ДАННИ ПО ЕБК ЗА ИЗПЪЛНЕНИЕТО НА БЮДЖЕТА</v>
      </c>
      <c r="C189" s="2133"/>
      <c r="D189" s="2133"/>
      <c r="E189" s="92"/>
      <c r="F189" s="92"/>
      <c r="G189" s="69"/>
      <c r="K189" s="179">
        <v>1</v>
      </c>
    </row>
    <row r="190" spans="3:11" ht="21">
      <c r="C190" s="49"/>
      <c r="D190" s="50"/>
      <c r="E190" s="93" t="s">
        <v>983</v>
      </c>
      <c r="F190" s="93" t="s">
        <v>889</v>
      </c>
      <c r="G190" s="69"/>
      <c r="K190" s="179">
        <v>1</v>
      </c>
    </row>
    <row r="191" spans="2:11" ht="21.75" thickBot="1">
      <c r="B191" s="2134" t="str">
        <f>$B$9</f>
        <v>КОМИСИЯ ЗА РЕГУЛИРАНЕ НА СЪОБЩЕНИЯТА</v>
      </c>
      <c r="C191" s="2135"/>
      <c r="D191" s="2135"/>
      <c r="E191" s="95">
        <f>$E$9</f>
        <v>43101</v>
      </c>
      <c r="F191" s="96">
        <f>$F$9</f>
        <v>43190</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134" t="str">
        <f>$B$12</f>
        <v>Комисия за регулиране на съобщенията</v>
      </c>
      <c r="C194" s="2135"/>
      <c r="D194" s="2135"/>
      <c r="E194" s="92" t="s">
        <v>984</v>
      </c>
      <c r="F194" s="99" t="str">
        <f>$F$12</f>
        <v>4300</v>
      </c>
      <c r="G194" s="69"/>
      <c r="K194" s="179">
        <v>1</v>
      </c>
    </row>
    <row r="195" spans="2:11" ht="21.75" thickTop="1">
      <c r="B195" s="54" t="str">
        <f>$B$13</f>
        <v>                                             (наименование на първостепенния разпоредител с бюджет)</v>
      </c>
      <c r="E195" s="98" t="s">
        <v>985</v>
      </c>
      <c r="F195" s="92"/>
      <c r="G195" s="69"/>
      <c r="K195" s="179">
        <v>1</v>
      </c>
    </row>
    <row r="196" spans="2:11" ht="21">
      <c r="B196" s="162"/>
      <c r="C196" s="160"/>
      <c r="D196" s="161"/>
      <c r="E196" s="163"/>
      <c r="F196" s="163"/>
      <c r="G196" s="69"/>
      <c r="K196" s="179">
        <v>1</v>
      </c>
    </row>
    <row r="197" spans="2:11" ht="21.75" thickBot="1">
      <c r="B197" s="160"/>
      <c r="C197" s="164"/>
      <c r="D197" s="165"/>
      <c r="F197" s="54"/>
      <c r="J197" s="54" t="s">
        <v>986</v>
      </c>
      <c r="K197" s="179">
        <v>1</v>
      </c>
    </row>
    <row r="198" spans="2:11" ht="21.75" thickBot="1">
      <c r="B198" s="166" t="s">
        <v>937</v>
      </c>
      <c r="C198" s="2197" t="s">
        <v>1381</v>
      </c>
      <c r="D198" s="2125"/>
      <c r="E198" s="61" t="s">
        <v>988</v>
      </c>
      <c r="F198" s="287" t="s">
        <v>989</v>
      </c>
      <c r="G198" s="203"/>
      <c r="H198" s="203"/>
      <c r="I198" s="203"/>
      <c r="J198" s="65"/>
      <c r="K198" s="179">
        <v>1</v>
      </c>
    </row>
    <row r="199" spans="2:11" ht="45.75" thickBot="1">
      <c r="B199" s="167"/>
      <c r="C199" s="2198"/>
      <c r="D199" s="2127"/>
      <c r="E199" s="63">
        <v>2017</v>
      </c>
      <c r="F199" s="174" t="s">
        <v>1351</v>
      </c>
      <c r="G199" s="174" t="s">
        <v>1401</v>
      </c>
      <c r="H199" s="174" t="s">
        <v>1402</v>
      </c>
      <c r="I199" s="288" t="s">
        <v>1230</v>
      </c>
      <c r="J199" s="289" t="s">
        <v>1231</v>
      </c>
      <c r="K199" s="179">
        <v>1</v>
      </c>
    </row>
    <row r="200" spans="2:11" ht="21">
      <c r="B200" s="168" t="s">
        <v>1382</v>
      </c>
      <c r="C200" s="2193" t="s">
        <v>1383</v>
      </c>
      <c r="D200" s="2194"/>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1384</v>
      </c>
      <c r="C201" s="2203" t="s">
        <v>1385</v>
      </c>
      <c r="D201" s="2204"/>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1386</v>
      </c>
      <c r="C202" s="2203" t="s">
        <v>1387</v>
      </c>
      <c r="D202" s="2204"/>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1388</v>
      </c>
      <c r="C203" s="2187" t="s">
        <v>1389</v>
      </c>
      <c r="D203" s="2188"/>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1390</v>
      </c>
      <c r="C204" s="2189" t="s">
        <v>1391</v>
      </c>
      <c r="D204" s="2190"/>
      <c r="E204" s="201">
        <f>SUMIF(OTCHET!L:L,5,OTCHET!E:E)</f>
        <v>0</v>
      </c>
      <c r="F204" s="201">
        <f>SUMIF(OTCHET!L:L,5,OTCHET!F:F)</f>
        <v>0</v>
      </c>
      <c r="G204" s="201">
        <f>SUMIF(OTCHET!L:L,5,OTCHET!G:G)</f>
        <v>0</v>
      </c>
      <c r="H204" s="201">
        <f>SUMIF(OTCHET!L:L,5,OTCHET!H:H)</f>
        <v>0</v>
      </c>
      <c r="I204" s="201">
        <f>SUMIF(OTCHET!L:L,5,OTCHET!I:I)</f>
        <v>0</v>
      </c>
      <c r="J204" s="201">
        <f>SUMIF(OTCHET!L:L,5,OTCHET!J:J)</f>
        <v>0</v>
      </c>
      <c r="K204" s="179">
        <v>1</v>
      </c>
    </row>
    <row r="205" spans="2:11" ht="42" customHeight="1">
      <c r="B205" s="169" t="s">
        <v>1392</v>
      </c>
      <c r="C205" s="2205" t="s">
        <v>1393</v>
      </c>
      <c r="D205" s="2205"/>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1394</v>
      </c>
      <c r="C206" s="2199" t="s">
        <v>1395</v>
      </c>
      <c r="D206" s="2200"/>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1396</v>
      </c>
      <c r="C207" s="2199" t="s">
        <v>1397</v>
      </c>
      <c r="D207" s="2200"/>
      <c r="E207" s="201">
        <f>SUMIF(OTCHET!L:L,8,OTCHET!E:E)</f>
        <v>9669200</v>
      </c>
      <c r="F207" s="201">
        <f>SUMIF(OTCHET!L:L,8,OTCHET!F:F)</f>
        <v>1621894</v>
      </c>
      <c r="G207" s="201">
        <f>SUMIF(OTCHET!L:L,8,OTCHET!G:G)</f>
        <v>1179379</v>
      </c>
      <c r="H207" s="201">
        <f>SUMIF(OTCHET!L:L,8,OTCHET!H:H)</f>
        <v>0</v>
      </c>
      <c r="I207" s="201">
        <f>SUMIF(OTCHET!L:L,8,OTCHET!I:I)</f>
        <v>43420</v>
      </c>
      <c r="J207" s="201">
        <f>SUMIF(OTCHET!L:L,8,OTCHET!J:J)</f>
        <v>399095</v>
      </c>
      <c r="K207" s="179">
        <v>1</v>
      </c>
    </row>
    <row r="208" spans="2:11" ht="21.75" thickBot="1">
      <c r="B208" s="169" t="s">
        <v>1398</v>
      </c>
      <c r="C208" s="2201" t="s">
        <v>1399</v>
      </c>
      <c r="D208" s="2202"/>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95" t="s">
        <v>1400</v>
      </c>
      <c r="D209" s="2196"/>
      <c r="E209" s="171">
        <f aca="true" t="shared" si="5" ref="E209:J209">SUM(E200:E208)</f>
        <v>9669200</v>
      </c>
      <c r="F209" s="171">
        <f t="shared" si="5"/>
        <v>1621894</v>
      </c>
      <c r="G209" s="171">
        <f t="shared" si="5"/>
        <v>1179379</v>
      </c>
      <c r="H209" s="171">
        <f t="shared" si="5"/>
        <v>0</v>
      </c>
      <c r="I209" s="171">
        <f t="shared" si="5"/>
        <v>43420</v>
      </c>
      <c r="J209" s="171">
        <f t="shared" si="5"/>
        <v>399095</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166:D166"/>
    <mergeCell ref="C185:D185"/>
    <mergeCell ref="B189:D189"/>
    <mergeCell ref="B194:D194"/>
    <mergeCell ref="C183:D183"/>
    <mergeCell ref="C184:D184"/>
    <mergeCell ref="B191:D191"/>
    <mergeCell ref="C180:D180"/>
    <mergeCell ref="C169:D169"/>
    <mergeCell ref="C170:D170"/>
    <mergeCell ref="C21:D21"/>
    <mergeCell ref="C161:D161"/>
    <mergeCell ref="C162:D162"/>
    <mergeCell ref="C163:D163"/>
    <mergeCell ref="C132:D132"/>
    <mergeCell ref="B136:D136"/>
    <mergeCell ref="B138:D138"/>
    <mergeCell ref="B141:D141"/>
    <mergeCell ref="B152:D152"/>
    <mergeCell ref="B154:D154"/>
    <mergeCell ref="C209:D209"/>
    <mergeCell ref="C198:D198"/>
    <mergeCell ref="C199:D199"/>
    <mergeCell ref="C207:D207"/>
    <mergeCell ref="C208:D208"/>
    <mergeCell ref="C201:D201"/>
    <mergeCell ref="C202:D202"/>
    <mergeCell ref="C205:D205"/>
    <mergeCell ref="C206:D206"/>
    <mergeCell ref="C204:D204"/>
    <mergeCell ref="C174:D174"/>
    <mergeCell ref="C176:D176"/>
    <mergeCell ref="C177:D177"/>
    <mergeCell ref="C178:D178"/>
    <mergeCell ref="C175:D175"/>
    <mergeCell ref="C181:D181"/>
    <mergeCell ref="C182:D182"/>
    <mergeCell ref="C179:D179"/>
    <mergeCell ref="C200:D200"/>
    <mergeCell ref="C171:D171"/>
    <mergeCell ref="C172:D172"/>
    <mergeCell ref="C173:D173"/>
    <mergeCell ref="C167:D167"/>
    <mergeCell ref="C168:D168"/>
    <mergeCell ref="C203:D203"/>
    <mergeCell ref="C164:D164"/>
    <mergeCell ref="C165:D165"/>
    <mergeCell ref="C116:D116"/>
    <mergeCell ref="C117:D117"/>
    <mergeCell ref="C118:D118"/>
    <mergeCell ref="C126:D126"/>
    <mergeCell ref="C127:D127"/>
    <mergeCell ref="C124:D124"/>
    <mergeCell ref="C125:D125"/>
    <mergeCell ref="C129:D129"/>
    <mergeCell ref="C114:D114"/>
    <mergeCell ref="C130:D130"/>
    <mergeCell ref="C115:D115"/>
    <mergeCell ref="B157:D157"/>
    <mergeCell ref="C131:D131"/>
    <mergeCell ref="C119:D119"/>
    <mergeCell ref="C121:D121"/>
    <mergeCell ref="C122:D122"/>
    <mergeCell ref="C123:D123"/>
    <mergeCell ref="C128:D128"/>
    <mergeCell ref="C110:D110"/>
    <mergeCell ref="C111:D111"/>
    <mergeCell ref="C112:D112"/>
    <mergeCell ref="C113:D113"/>
    <mergeCell ref="B101:D101"/>
    <mergeCell ref="B104:D104"/>
    <mergeCell ref="C108:D108"/>
    <mergeCell ref="C109:D109"/>
    <mergeCell ref="C94:D94"/>
    <mergeCell ref="C95:D95"/>
    <mergeCell ref="C96:D96"/>
    <mergeCell ref="B99:D99"/>
    <mergeCell ref="C88:D88"/>
    <mergeCell ref="C89:D89"/>
    <mergeCell ref="C92:D92"/>
    <mergeCell ref="C93:D93"/>
    <mergeCell ref="C90:D90"/>
    <mergeCell ref="C91:D91"/>
    <mergeCell ref="C74:D74"/>
    <mergeCell ref="C75:D75"/>
    <mergeCell ref="C84:D84"/>
    <mergeCell ref="C85:D85"/>
    <mergeCell ref="C86:D86"/>
    <mergeCell ref="C87:D87"/>
    <mergeCell ref="C80:D80"/>
    <mergeCell ref="C81:D81"/>
    <mergeCell ref="C82:D82"/>
    <mergeCell ref="C83:D83"/>
    <mergeCell ref="O63:O65"/>
    <mergeCell ref="C64:D64"/>
    <mergeCell ref="C65:D65"/>
    <mergeCell ref="C63:D63"/>
    <mergeCell ref="C71:D71"/>
    <mergeCell ref="C78:D78"/>
    <mergeCell ref="C66:D66"/>
    <mergeCell ref="C67:D67"/>
    <mergeCell ref="C68:D68"/>
    <mergeCell ref="C69:D69"/>
    <mergeCell ref="B56:D56"/>
    <mergeCell ref="B59:D59"/>
    <mergeCell ref="L63:L65"/>
    <mergeCell ref="M63:M65"/>
    <mergeCell ref="N63:N65"/>
    <mergeCell ref="C77:D77"/>
    <mergeCell ref="C76:D76"/>
    <mergeCell ref="C70:D70"/>
    <mergeCell ref="C72:D72"/>
    <mergeCell ref="C73:D73"/>
    <mergeCell ref="C44:D44"/>
    <mergeCell ref="C45:D45"/>
    <mergeCell ref="C48:D48"/>
    <mergeCell ref="B54:D54"/>
    <mergeCell ref="C47:D47"/>
    <mergeCell ref="C46:D46"/>
    <mergeCell ref="C39:D39"/>
    <mergeCell ref="C40:D40"/>
    <mergeCell ref="C27:D27"/>
    <mergeCell ref="C28:D28"/>
    <mergeCell ref="C29:D29"/>
    <mergeCell ref="C30:D30"/>
    <mergeCell ref="C41:D41"/>
    <mergeCell ref="C43:D43"/>
    <mergeCell ref="C31:D31"/>
    <mergeCell ref="C32:D32"/>
    <mergeCell ref="C33:D33"/>
    <mergeCell ref="C34:D34"/>
    <mergeCell ref="C35:D35"/>
    <mergeCell ref="C36:D36"/>
    <mergeCell ref="C37:D37"/>
    <mergeCell ref="C38:D38"/>
    <mergeCell ref="C25:D25"/>
    <mergeCell ref="C26:D26"/>
    <mergeCell ref="B7:D7"/>
    <mergeCell ref="B9:D9"/>
    <mergeCell ref="B12:D12"/>
    <mergeCell ref="C22:D22"/>
    <mergeCell ref="C23:D23"/>
    <mergeCell ref="C24:D24"/>
    <mergeCell ref="C19:D19"/>
    <mergeCell ref="C20:D20"/>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85"/>
  <sheetViews>
    <sheetView tabSelected="1" zoomScale="80" zoomScaleNormal="80" zoomScaleSheetLayoutView="75" workbookViewId="0" topLeftCell="B2">
      <selection activeCell="E784" sqref="E784"/>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1" customWidth="1"/>
    <col min="13" max="13" width="11.75390625" style="2017" customWidth="1"/>
    <col min="14" max="26" width="11.75390625" style="350" customWidth="1"/>
    <col min="27" max="16384" width="9.125" style="350" customWidth="1"/>
  </cols>
  <sheetData>
    <row r="1" spans="1:12" ht="18.75" customHeight="1" hidden="1">
      <c r="A1" s="1" t="s">
        <v>596</v>
      </c>
      <c r="B1" s="2027" t="s">
        <v>2185</v>
      </c>
      <c r="C1" s="1" t="s">
        <v>598</v>
      </c>
      <c r="D1" s="2" t="s">
        <v>599</v>
      </c>
      <c r="E1" s="1" t="s">
        <v>600</v>
      </c>
      <c r="F1" s="1" t="s">
        <v>601</v>
      </c>
      <c r="G1" s="1" t="s">
        <v>601</v>
      </c>
      <c r="H1" s="1" t="s">
        <v>601</v>
      </c>
      <c r="I1" s="1" t="s">
        <v>601</v>
      </c>
      <c r="J1" s="1" t="s">
        <v>601</v>
      </c>
      <c r="K1" s="3" t="s">
        <v>602</v>
      </c>
      <c r="L1" s="310"/>
    </row>
    <row r="2" spans="1:12" ht="12.75" customHeight="1">
      <c r="A2" s="291">
        <v>2</v>
      </c>
      <c r="B2" s="291"/>
      <c r="C2" s="291"/>
      <c r="D2" s="306"/>
      <c r="E2" s="291"/>
      <c r="F2" s="291"/>
      <c r="G2" s="291"/>
      <c r="H2" s="291"/>
      <c r="I2" s="291"/>
      <c r="J2" s="291"/>
      <c r="K2" s="1528">
        <v>1</v>
      </c>
      <c r="L2" s="457"/>
    </row>
    <row r="3" spans="1:12" ht="15.75">
      <c r="A3" s="291"/>
      <c r="B3" s="1818" t="s">
        <v>130</v>
      </c>
      <c r="C3" s="1819">
        <f>YEAR(F9)</f>
        <v>2018</v>
      </c>
      <c r="D3" s="306"/>
      <c r="E3" s="312"/>
      <c r="F3" s="291"/>
      <c r="G3" s="291"/>
      <c r="H3" s="291"/>
      <c r="I3" s="291"/>
      <c r="J3" s="291"/>
      <c r="K3" s="4">
        <v>1</v>
      </c>
      <c r="L3" s="457"/>
    </row>
    <row r="4" spans="1:12" ht="15">
      <c r="A4" s="291"/>
      <c r="B4" s="291"/>
      <c r="C4" s="291"/>
      <c r="D4" s="306"/>
      <c r="E4" s="313"/>
      <c r="F4" s="291"/>
      <c r="G4" s="291"/>
      <c r="H4" s="291"/>
      <c r="I4" s="291"/>
      <c r="J4" s="291"/>
      <c r="K4" s="4">
        <v>1</v>
      </c>
      <c r="L4" s="457"/>
    </row>
    <row r="5" spans="1:12" ht="15">
      <c r="A5" s="291"/>
      <c r="B5" s="291"/>
      <c r="C5" s="314"/>
      <c r="D5" s="306"/>
      <c r="E5" s="291" t="s">
        <v>982</v>
      </c>
      <c r="F5" s="291" t="s">
        <v>982</v>
      </c>
      <c r="G5" s="291" t="s">
        <v>982</v>
      </c>
      <c r="H5" s="291" t="s">
        <v>982</v>
      </c>
      <c r="I5" s="291" t="s">
        <v>982</v>
      </c>
      <c r="J5" s="291" t="s">
        <v>982</v>
      </c>
      <c r="K5" s="4">
        <v>1</v>
      </c>
      <c r="L5" s="457"/>
    </row>
    <row r="6" spans="1:12" ht="15">
      <c r="A6" s="291"/>
      <c r="B6" s="291"/>
      <c r="C6" s="305"/>
      <c r="D6" s="307"/>
      <c r="E6" s="313"/>
      <c r="F6" s="291" t="s">
        <v>982</v>
      </c>
      <c r="G6" s="291" t="s">
        <v>982</v>
      </c>
      <c r="H6" s="291" t="s">
        <v>982</v>
      </c>
      <c r="I6" s="291" t="s">
        <v>982</v>
      </c>
      <c r="J6" s="291" t="s">
        <v>982</v>
      </c>
      <c r="K6" s="4">
        <v>1</v>
      </c>
      <c r="L6" s="457"/>
    </row>
    <row r="7" spans="1:12" ht="15">
      <c r="A7" s="291"/>
      <c r="B7" s="2232" t="str">
        <f>VLOOKUP(E15,SMETKA,2,FALSE)</f>
        <v>ОТЧЕТНИ ДАННИ ПО ЕБК ЗА ИЗПЪЛНЕНИЕТО НА БЮДЖЕТА</v>
      </c>
      <c r="C7" s="2233"/>
      <c r="D7" s="2233"/>
      <c r="E7" s="1061"/>
      <c r="F7" s="1061"/>
      <c r="G7" s="1061"/>
      <c r="H7" s="1061"/>
      <c r="I7" s="1061"/>
      <c r="J7" s="1061"/>
      <c r="K7" s="4">
        <v>1</v>
      </c>
      <c r="L7" s="457"/>
    </row>
    <row r="8" spans="1:12" ht="18.75" customHeight="1">
      <c r="A8" s="291"/>
      <c r="B8" s="291"/>
      <c r="C8" s="305"/>
      <c r="D8" s="307"/>
      <c r="E8" s="388" t="s">
        <v>1604</v>
      </c>
      <c r="F8" s="1138" t="s">
        <v>889</v>
      </c>
      <c r="G8" s="315"/>
      <c r="H8" s="1059" t="s">
        <v>1492</v>
      </c>
      <c r="I8" s="315"/>
      <c r="J8" s="315"/>
      <c r="K8" s="4">
        <v>1</v>
      </c>
      <c r="L8" s="457"/>
    </row>
    <row r="9" spans="2:12" ht="27" customHeight="1">
      <c r="B9" s="2234" t="s">
        <v>1406</v>
      </c>
      <c r="C9" s="2235"/>
      <c r="D9" s="2236"/>
      <c r="E9" s="1066">
        <v>43101</v>
      </c>
      <c r="F9" s="1067">
        <v>43190</v>
      </c>
      <c r="G9" s="315"/>
      <c r="H9" s="1867"/>
      <c r="I9" s="2276"/>
      <c r="J9" s="2277"/>
      <c r="K9" s="4">
        <v>1</v>
      </c>
      <c r="L9" s="457"/>
    </row>
    <row r="10" spans="1:12" ht="15">
      <c r="A10" s="291"/>
      <c r="B10" s="308" t="s">
        <v>1606</v>
      </c>
      <c r="C10" s="291"/>
      <c r="D10" s="306"/>
      <c r="E10" s="315"/>
      <c r="F10" s="315"/>
      <c r="G10" s="315"/>
      <c r="H10" s="1059"/>
      <c r="I10" s="2278" t="s">
        <v>1874</v>
      </c>
      <c r="J10" s="2278"/>
      <c r="K10" s="4">
        <v>1</v>
      </c>
      <c r="L10" s="457"/>
    </row>
    <row r="11" spans="1:12" ht="6" customHeight="1">
      <c r="A11" s="291"/>
      <c r="B11" s="308"/>
      <c r="C11" s="291"/>
      <c r="D11" s="306"/>
      <c r="E11" s="308"/>
      <c r="F11" s="291"/>
      <c r="G11" s="315"/>
      <c r="H11" s="1059"/>
      <c r="I11" s="2279"/>
      <c r="J11" s="2279"/>
      <c r="K11" s="4">
        <v>1</v>
      </c>
      <c r="L11" s="457"/>
    </row>
    <row r="12" spans="2:12" ht="27" customHeight="1">
      <c r="B12" s="2237" t="str">
        <f>VLOOKUP(F12,PRBK,2,FALSE)</f>
        <v>Комисия за регулиране на съобщенията</v>
      </c>
      <c r="C12" s="2238"/>
      <c r="D12" s="2239"/>
      <c r="E12" s="1519" t="s">
        <v>1434</v>
      </c>
      <c r="F12" s="1900" t="s">
        <v>176</v>
      </c>
      <c r="G12" s="315"/>
      <c r="H12" s="1059"/>
      <c r="I12" s="2279"/>
      <c r="J12" s="2279"/>
      <c r="K12" s="4">
        <v>1</v>
      </c>
      <c r="L12" s="457"/>
    </row>
    <row r="13" spans="2:12" ht="18" customHeight="1">
      <c r="B13" s="378" t="s">
        <v>1605</v>
      </c>
      <c r="C13" s="291"/>
      <c r="D13" s="306"/>
      <c r="E13" s="1140"/>
      <c r="F13" s="1059"/>
      <c r="G13" s="315"/>
      <c r="H13" s="1060"/>
      <c r="I13" s="1061"/>
      <c r="J13" s="318"/>
      <c r="K13" s="4">
        <v>1</v>
      </c>
      <c r="L13" s="457"/>
    </row>
    <row r="14" spans="2:12" ht="20.25" customHeight="1">
      <c r="B14" s="308"/>
      <c r="C14" s="291"/>
      <c r="D14" s="306"/>
      <c r="E14" s="1140"/>
      <c r="F14" s="1059"/>
      <c r="G14" s="315"/>
      <c r="H14" s="1060"/>
      <c r="I14" s="1061"/>
      <c r="J14" s="318"/>
      <c r="K14" s="4">
        <v>1</v>
      </c>
      <c r="L14" s="457"/>
    </row>
    <row r="15" spans="2:12" ht="21" customHeight="1">
      <c r="B15" s="308"/>
      <c r="C15" s="291"/>
      <c r="D15" s="1141" t="s">
        <v>1424</v>
      </c>
      <c r="E15" s="1278">
        <v>0</v>
      </c>
      <c r="F15" s="1495" t="str">
        <f>+IF(+E15=0,"БЮДЖЕТ",+IF(+E15=98,"СЕС - КСФ",+IF(+E15=42,"СЕС - РА",+IF(+E15=96,"СЕС - ДЕС",+IF(+E15=97,"СЕС - ДМП",+IF(+E15=33,"Чужди средства"))))))</f>
        <v>БЮДЖЕТ</v>
      </c>
      <c r="G15" s="315"/>
      <c r="H15" s="1060"/>
      <c r="I15" s="1061"/>
      <c r="J15" s="318"/>
      <c r="K15" s="4">
        <v>1</v>
      </c>
      <c r="L15" s="457"/>
    </row>
    <row r="16" spans="1:12" ht="7.5" customHeight="1">
      <c r="A16" s="5"/>
      <c r="B16" s="316"/>
      <c r="C16" s="316"/>
      <c r="D16" s="316"/>
      <c r="E16" s="317"/>
      <c r="F16" s="315"/>
      <c r="G16" s="315"/>
      <c r="H16" s="1060"/>
      <c r="I16" s="1061"/>
      <c r="J16" s="318"/>
      <c r="K16" s="4">
        <v>1</v>
      </c>
      <c r="L16" s="457"/>
    </row>
    <row r="17" spans="1:12" ht="6.75" customHeight="1">
      <c r="A17" s="5"/>
      <c r="B17" s="291"/>
      <c r="C17" s="305"/>
      <c r="D17" s="1061"/>
      <c r="E17" s="1061"/>
      <c r="F17" s="1061"/>
      <c r="G17" s="1061"/>
      <c r="H17" s="1061"/>
      <c r="I17" s="1061"/>
      <c r="J17" s="318"/>
      <c r="K17" s="4">
        <v>1</v>
      </c>
      <c r="L17" s="457"/>
    </row>
    <row r="18" spans="2:12" ht="16.5" thickBot="1">
      <c r="B18" s="291"/>
      <c r="C18" s="305"/>
      <c r="D18" s="307"/>
      <c r="F18" s="309"/>
      <c r="G18" s="309"/>
      <c r="H18" s="309"/>
      <c r="I18" s="309"/>
      <c r="J18" s="411" t="s">
        <v>986</v>
      </c>
      <c r="K18" s="4">
        <v>1</v>
      </c>
      <c r="L18" s="457"/>
    </row>
    <row r="19" spans="1:12" ht="22.5" customHeight="1">
      <c r="A19" s="481"/>
      <c r="B19" s="389"/>
      <c r="C19" s="390"/>
      <c r="D19" s="391" t="s">
        <v>1265</v>
      </c>
      <c r="E19" s="387" t="s">
        <v>988</v>
      </c>
      <c r="F19" s="393" t="s">
        <v>1264</v>
      </c>
      <c r="G19" s="394"/>
      <c r="H19" s="395"/>
      <c r="I19" s="394"/>
      <c r="J19" s="396"/>
      <c r="K19" s="4">
        <v>1</v>
      </c>
      <c r="L19" s="479"/>
    </row>
    <row r="20" spans="1:12" ht="49.5" customHeight="1">
      <c r="A20" s="481"/>
      <c r="B20" s="406" t="s">
        <v>937</v>
      </c>
      <c r="C20" s="407" t="s">
        <v>990</v>
      </c>
      <c r="D20" s="408" t="s">
        <v>1263</v>
      </c>
      <c r="E20" s="409">
        <f>$C$3</f>
        <v>2018</v>
      </c>
      <c r="F20" s="410" t="s">
        <v>1262</v>
      </c>
      <c r="G20" s="1955" t="s">
        <v>1261</v>
      </c>
      <c r="H20" s="1956" t="s">
        <v>1352</v>
      </c>
      <c r="I20" s="1956" t="s">
        <v>1250</v>
      </c>
      <c r="J20" s="1957" t="s">
        <v>1251</v>
      </c>
      <c r="K20" s="4">
        <v>1</v>
      </c>
      <c r="L20" s="479"/>
    </row>
    <row r="21" spans="1:12" ht="18.75">
      <c r="A21" s="481"/>
      <c r="B21" s="401"/>
      <c r="C21" s="402"/>
      <c r="D21" s="403" t="s">
        <v>991</v>
      </c>
      <c r="E21" s="404" t="s">
        <v>604</v>
      </c>
      <c r="F21" s="405" t="s">
        <v>605</v>
      </c>
      <c r="G21" s="397" t="s">
        <v>1365</v>
      </c>
      <c r="H21" s="398" t="s">
        <v>1366</v>
      </c>
      <c r="I21" s="399" t="s">
        <v>1339</v>
      </c>
      <c r="J21" s="400" t="s">
        <v>1232</v>
      </c>
      <c r="K21" s="4">
        <v>1</v>
      </c>
      <c r="L21" s="479"/>
    </row>
    <row r="22" spans="1:26" s="351" customFormat="1" ht="18.75" customHeight="1">
      <c r="A22" s="482">
        <v>5</v>
      </c>
      <c r="B22" s="290">
        <v>100</v>
      </c>
      <c r="C22" s="2240" t="s">
        <v>992</v>
      </c>
      <c r="D22" s="2241"/>
      <c r="E22" s="392">
        <f aca="true" t="shared" si="0" ref="E22:J22">SUM(E23:E27)</f>
        <v>0</v>
      </c>
      <c r="F22" s="392">
        <f t="shared" si="0"/>
        <v>0</v>
      </c>
      <c r="G22" s="605">
        <f t="shared" si="0"/>
        <v>0</v>
      </c>
      <c r="H22" s="606">
        <f t="shared" si="0"/>
        <v>0</v>
      </c>
      <c r="I22" s="607">
        <f t="shared" si="0"/>
        <v>0</v>
      </c>
      <c r="J22" s="608">
        <f t="shared" si="0"/>
        <v>0</v>
      </c>
      <c r="K22" s="1527">
        <f aca="true" t="shared" si="1" ref="K22:K89">(IF($E22&lt;&gt;0,$K$2,IF($F22&lt;&gt;0,$K$2,IF($G22&lt;&gt;0,$K$2,IF($H22&lt;&gt;0,$K$2,IF($I22&lt;&gt;0,$K$2,IF($J22&lt;&gt;0,$K$2,"")))))))</f>
      </c>
      <c r="L22" s="480"/>
      <c r="M22" s="2017"/>
      <c r="N22" s="350"/>
      <c r="O22" s="350"/>
      <c r="P22" s="350"/>
      <c r="Q22" s="350"/>
      <c r="R22" s="350"/>
      <c r="S22" s="350"/>
      <c r="T22" s="350"/>
      <c r="U22" s="350"/>
      <c r="V22" s="350"/>
      <c r="W22" s="350"/>
      <c r="X22" s="350"/>
      <c r="Y22" s="350"/>
      <c r="Z22" s="350"/>
    </row>
    <row r="23" spans="1:12" ht="18.75" customHeight="1">
      <c r="A23" s="483">
        <v>10</v>
      </c>
      <c r="B23" s="292"/>
      <c r="C23" s="293">
        <v>101</v>
      </c>
      <c r="D23" s="294" t="s">
        <v>993</v>
      </c>
      <c r="E23" s="619"/>
      <c r="F23" s="620">
        <f>G23+H23+I23+J23</f>
        <v>0</v>
      </c>
      <c r="G23" s="542"/>
      <c r="H23" s="543"/>
      <c r="I23" s="543"/>
      <c r="J23" s="544"/>
      <c r="K23" s="1527">
        <f t="shared" si="1"/>
      </c>
      <c r="L23" s="480"/>
    </row>
    <row r="24" spans="1:26" ht="15.75">
      <c r="A24" s="483">
        <v>15</v>
      </c>
      <c r="B24" s="292"/>
      <c r="C24" s="295">
        <v>102</v>
      </c>
      <c r="D24" s="296" t="s">
        <v>2096</v>
      </c>
      <c r="E24" s="621"/>
      <c r="F24" s="622">
        <f>G24+H24+I24+J24</f>
        <v>0</v>
      </c>
      <c r="G24" s="545"/>
      <c r="H24" s="546"/>
      <c r="I24" s="546"/>
      <c r="J24" s="547"/>
      <c r="K24" s="1527">
        <f t="shared" si="1"/>
      </c>
      <c r="L24" s="480"/>
      <c r="M24" s="2018"/>
      <c r="N24" s="351"/>
      <c r="O24" s="351"/>
      <c r="P24" s="351"/>
      <c r="Q24" s="351"/>
      <c r="R24" s="351"/>
      <c r="S24" s="351"/>
      <c r="T24" s="351"/>
      <c r="U24" s="351"/>
      <c r="V24" s="351"/>
      <c r="W24" s="351"/>
      <c r="X24" s="351"/>
      <c r="Y24" s="351"/>
      <c r="Z24" s="351"/>
    </row>
    <row r="25" spans="1:12" ht="18.75" customHeight="1">
      <c r="A25" s="483">
        <v>20</v>
      </c>
      <c r="B25" s="292"/>
      <c r="C25" s="295">
        <v>103</v>
      </c>
      <c r="D25" s="296" t="s">
        <v>2097</v>
      </c>
      <c r="E25" s="621"/>
      <c r="F25" s="622">
        <f>G25+H25+I25+J25</f>
        <v>0</v>
      </c>
      <c r="G25" s="545"/>
      <c r="H25" s="546"/>
      <c r="I25" s="546"/>
      <c r="J25" s="547"/>
      <c r="K25" s="1527">
        <f t="shared" si="1"/>
      </c>
      <c r="L25" s="480"/>
    </row>
    <row r="26" spans="1:12" ht="18.75" customHeight="1">
      <c r="A26" s="483">
        <v>20</v>
      </c>
      <c r="B26" s="292"/>
      <c r="C26" s="295">
        <v>108</v>
      </c>
      <c r="D26" s="297" t="s">
        <v>2098</v>
      </c>
      <c r="E26" s="621"/>
      <c r="F26" s="622">
        <f>G26+H26+I26+J26</f>
        <v>0</v>
      </c>
      <c r="G26" s="545"/>
      <c r="H26" s="546"/>
      <c r="I26" s="546"/>
      <c r="J26" s="547"/>
      <c r="K26" s="1527">
        <f t="shared" si="1"/>
      </c>
      <c r="L26" s="480"/>
    </row>
    <row r="27" spans="1:12" ht="21" customHeight="1">
      <c r="A27" s="483">
        <v>21</v>
      </c>
      <c r="B27" s="292"/>
      <c r="C27" s="319">
        <v>109</v>
      </c>
      <c r="D27" s="320" t="s">
        <v>1014</v>
      </c>
      <c r="E27" s="623"/>
      <c r="F27" s="624">
        <f>G27+H27+I27+J27</f>
        <v>0</v>
      </c>
      <c r="G27" s="609"/>
      <c r="H27" s="610"/>
      <c r="I27" s="610"/>
      <c r="J27" s="611"/>
      <c r="K27" s="1527">
        <f t="shared" si="1"/>
      </c>
      <c r="L27" s="480"/>
    </row>
    <row r="28" spans="1:26" s="352" customFormat="1" ht="18.75" customHeight="1">
      <c r="A28" s="484">
        <v>25</v>
      </c>
      <c r="B28" s="321">
        <v>200</v>
      </c>
      <c r="C28" s="2230" t="s">
        <v>994</v>
      </c>
      <c r="D28" s="2231"/>
      <c r="E28" s="325">
        <f aca="true" t="shared" si="2" ref="E28:J28">SUM(E29:E32)</f>
        <v>0</v>
      </c>
      <c r="F28" s="325">
        <f t="shared" si="2"/>
        <v>0</v>
      </c>
      <c r="G28" s="612">
        <f t="shared" si="2"/>
        <v>0</v>
      </c>
      <c r="H28" s="613">
        <f t="shared" si="2"/>
        <v>0</v>
      </c>
      <c r="I28" s="614">
        <f t="shared" si="2"/>
        <v>0</v>
      </c>
      <c r="J28" s="615">
        <f t="shared" si="2"/>
        <v>0</v>
      </c>
      <c r="K28" s="1527">
        <f t="shared" si="1"/>
      </c>
      <c r="L28" s="480"/>
      <c r="M28" s="2017"/>
      <c r="N28" s="350"/>
      <c r="O28" s="350"/>
      <c r="P28" s="350"/>
      <c r="Q28" s="350"/>
      <c r="R28" s="350"/>
      <c r="S28" s="350"/>
      <c r="T28" s="350"/>
      <c r="U28" s="350"/>
      <c r="V28" s="350"/>
      <c r="W28" s="350"/>
      <c r="X28" s="350"/>
      <c r="Y28" s="350"/>
      <c r="Z28" s="350"/>
    </row>
    <row r="29" spans="1:12" ht="18.75" customHeight="1">
      <c r="A29" s="483">
        <v>30</v>
      </c>
      <c r="B29" s="299"/>
      <c r="C29" s="293">
        <v>201</v>
      </c>
      <c r="D29" s="294" t="s">
        <v>995</v>
      </c>
      <c r="E29" s="619"/>
      <c r="F29" s="620">
        <f>G29+H29+I29+J29</f>
        <v>0</v>
      </c>
      <c r="G29" s="542"/>
      <c r="H29" s="543"/>
      <c r="I29" s="543"/>
      <c r="J29" s="544"/>
      <c r="K29" s="1527">
        <f t="shared" si="1"/>
      </c>
      <c r="L29" s="480"/>
    </row>
    <row r="30" spans="1:26" ht="18.75" customHeight="1">
      <c r="A30" s="483">
        <v>35</v>
      </c>
      <c r="B30" s="299"/>
      <c r="C30" s="295">
        <v>202</v>
      </c>
      <c r="D30" s="296" t="s">
        <v>996</v>
      </c>
      <c r="E30" s="621"/>
      <c r="F30" s="622">
        <f>G30+H30+I30+J30</f>
        <v>0</v>
      </c>
      <c r="G30" s="545"/>
      <c r="H30" s="546"/>
      <c r="I30" s="546"/>
      <c r="J30" s="547"/>
      <c r="K30" s="1527">
        <f t="shared" si="1"/>
      </c>
      <c r="L30" s="480"/>
      <c r="N30" s="352"/>
      <c r="O30" s="352"/>
      <c r="P30" s="352"/>
      <c r="Q30" s="352"/>
      <c r="R30" s="352"/>
      <c r="S30" s="352"/>
      <c r="T30" s="352"/>
      <c r="U30" s="352"/>
      <c r="V30" s="352"/>
      <c r="W30" s="352"/>
      <c r="X30" s="352"/>
      <c r="Y30" s="352"/>
      <c r="Z30" s="352"/>
    </row>
    <row r="31" spans="1:12" ht="18.75" customHeight="1">
      <c r="A31" s="483">
        <v>40</v>
      </c>
      <c r="B31" s="299"/>
      <c r="C31" s="295">
        <v>203</v>
      </c>
      <c r="D31" s="296" t="s">
        <v>997</v>
      </c>
      <c r="E31" s="621"/>
      <c r="F31" s="622">
        <f>G31+H31+I31+J31</f>
        <v>0</v>
      </c>
      <c r="G31" s="545"/>
      <c r="H31" s="546"/>
      <c r="I31" s="546"/>
      <c r="J31" s="547"/>
      <c r="K31" s="1527">
        <f t="shared" si="1"/>
      </c>
      <c r="L31" s="480"/>
    </row>
    <row r="32" spans="1:12" ht="18.75" customHeight="1">
      <c r="A32" s="483">
        <v>45</v>
      </c>
      <c r="B32" s="299"/>
      <c r="C32" s="319">
        <v>204</v>
      </c>
      <c r="D32" s="326" t="s">
        <v>998</v>
      </c>
      <c r="E32" s="625"/>
      <c r="F32" s="626">
        <f>G32+H32+I32+J32</f>
        <v>0</v>
      </c>
      <c r="G32" s="554"/>
      <c r="H32" s="555"/>
      <c r="I32" s="555"/>
      <c r="J32" s="556"/>
      <c r="K32" s="1527">
        <f t="shared" si="1"/>
      </c>
      <c r="L32" s="480"/>
    </row>
    <row r="33" spans="1:26" s="352" customFormat="1" ht="18.75" customHeight="1">
      <c r="A33" s="484">
        <v>50</v>
      </c>
      <c r="B33" s="321">
        <v>400</v>
      </c>
      <c r="C33" s="2230" t="s">
        <v>999</v>
      </c>
      <c r="D33" s="2231"/>
      <c r="E33" s="325">
        <f aca="true" t="shared" si="3" ref="E33:J33">SUM(E34:E38)</f>
        <v>0</v>
      </c>
      <c r="F33" s="325">
        <f t="shared" si="3"/>
        <v>0</v>
      </c>
      <c r="G33" s="612">
        <f t="shared" si="3"/>
        <v>0</v>
      </c>
      <c r="H33" s="613">
        <f t="shared" si="3"/>
        <v>0</v>
      </c>
      <c r="I33" s="614">
        <f t="shared" si="3"/>
        <v>0</v>
      </c>
      <c r="J33" s="615">
        <f t="shared" si="3"/>
        <v>0</v>
      </c>
      <c r="K33" s="1527">
        <f t="shared" si="1"/>
      </c>
      <c r="L33" s="480"/>
      <c r="M33" s="2017"/>
      <c r="N33" s="350"/>
      <c r="O33" s="350"/>
      <c r="P33" s="350"/>
      <c r="Q33" s="350"/>
      <c r="R33" s="350"/>
      <c r="S33" s="350"/>
      <c r="T33" s="350"/>
      <c r="U33" s="350"/>
      <c r="V33" s="350"/>
      <c r="W33" s="350"/>
      <c r="X33" s="350"/>
      <c r="Y33" s="350"/>
      <c r="Z33" s="350"/>
    </row>
    <row r="34" spans="1:12" ht="18.75" customHeight="1">
      <c r="A34" s="483">
        <v>55</v>
      </c>
      <c r="B34" s="292"/>
      <c r="C34" s="293">
        <v>401</v>
      </c>
      <c r="D34" s="327" t="s">
        <v>1000</v>
      </c>
      <c r="E34" s="619"/>
      <c r="F34" s="620">
        <f>G34+H34+I34+J34</f>
        <v>0</v>
      </c>
      <c r="G34" s="542"/>
      <c r="H34" s="543"/>
      <c r="I34" s="543"/>
      <c r="J34" s="544"/>
      <c r="K34" s="1527">
        <f t="shared" si="1"/>
      </c>
      <c r="L34" s="480"/>
    </row>
    <row r="35" spans="1:26" ht="18.75" customHeight="1">
      <c r="A35" s="483">
        <v>56</v>
      </c>
      <c r="B35" s="292"/>
      <c r="C35" s="295">
        <v>402</v>
      </c>
      <c r="D35" s="328" t="s">
        <v>1001</v>
      </c>
      <c r="E35" s="621"/>
      <c r="F35" s="622">
        <f>G35+H35+I35+J35</f>
        <v>0</v>
      </c>
      <c r="G35" s="545"/>
      <c r="H35" s="546"/>
      <c r="I35" s="546"/>
      <c r="J35" s="547"/>
      <c r="K35" s="1527">
        <f t="shared" si="1"/>
      </c>
      <c r="L35" s="480"/>
      <c r="N35" s="352"/>
      <c r="O35" s="352"/>
      <c r="P35" s="352"/>
      <c r="Q35" s="352"/>
      <c r="R35" s="352"/>
      <c r="S35" s="352"/>
      <c r="T35" s="352"/>
      <c r="U35" s="352"/>
      <c r="V35" s="352"/>
      <c r="W35" s="352"/>
      <c r="X35" s="352"/>
      <c r="Y35" s="352"/>
      <c r="Z35" s="352"/>
    </row>
    <row r="36" spans="1:12" ht="18" customHeight="1">
      <c r="A36" s="483">
        <v>57</v>
      </c>
      <c r="B36" s="292"/>
      <c r="C36" s="295">
        <v>403</v>
      </c>
      <c r="D36" s="349" t="s">
        <v>1252</v>
      </c>
      <c r="E36" s="621"/>
      <c r="F36" s="622">
        <f>G36+H36+I36+J36</f>
        <v>0</v>
      </c>
      <c r="G36" s="545"/>
      <c r="H36" s="546"/>
      <c r="I36" s="546"/>
      <c r="J36" s="547"/>
      <c r="K36" s="1527">
        <f t="shared" si="1"/>
      </c>
      <c r="L36" s="480"/>
    </row>
    <row r="37" spans="1:12" ht="18.75" customHeight="1">
      <c r="A37" s="483">
        <v>58</v>
      </c>
      <c r="B37" s="305"/>
      <c r="C37" s="295">
        <v>404</v>
      </c>
      <c r="D37" s="328" t="s">
        <v>1002</v>
      </c>
      <c r="E37" s="621"/>
      <c r="F37" s="622">
        <f>G37+H37+I37+J37</f>
        <v>0</v>
      </c>
      <c r="G37" s="545"/>
      <c r="H37" s="546"/>
      <c r="I37" s="546"/>
      <c r="J37" s="547"/>
      <c r="K37" s="1527">
        <f t="shared" si="1"/>
      </c>
      <c r="L37" s="480"/>
    </row>
    <row r="38" spans="1:12" ht="18.75" customHeight="1">
      <c r="A38" s="483">
        <v>59</v>
      </c>
      <c r="B38" s="292"/>
      <c r="C38" s="298">
        <v>411</v>
      </c>
      <c r="D38" s="329" t="s">
        <v>1015</v>
      </c>
      <c r="E38" s="625"/>
      <c r="F38" s="626">
        <f>G38+H38+I38+J38</f>
        <v>0</v>
      </c>
      <c r="G38" s="554"/>
      <c r="H38" s="555"/>
      <c r="I38" s="555"/>
      <c r="J38" s="556"/>
      <c r="K38" s="1527">
        <f t="shared" si="1"/>
      </c>
      <c r="L38" s="480"/>
    </row>
    <row r="39" spans="1:26" s="352" customFormat="1" ht="18.75" customHeight="1">
      <c r="A39" s="484">
        <v>65</v>
      </c>
      <c r="B39" s="321">
        <v>800</v>
      </c>
      <c r="C39" s="2230" t="s">
        <v>1228</v>
      </c>
      <c r="D39" s="2231"/>
      <c r="E39" s="325">
        <f aca="true" t="shared" si="4" ref="E39:J39">SUM(E40:E46)</f>
        <v>0</v>
      </c>
      <c r="F39" s="325">
        <f t="shared" si="4"/>
        <v>0</v>
      </c>
      <c r="G39" s="612">
        <f t="shared" si="4"/>
        <v>0</v>
      </c>
      <c r="H39" s="613">
        <f t="shared" si="4"/>
        <v>0</v>
      </c>
      <c r="I39" s="614">
        <f t="shared" si="4"/>
        <v>0</v>
      </c>
      <c r="J39" s="615">
        <f t="shared" si="4"/>
        <v>0</v>
      </c>
      <c r="K39" s="1527">
        <f t="shared" si="1"/>
      </c>
      <c r="L39" s="480"/>
      <c r="M39" s="2017"/>
      <c r="N39" s="350"/>
      <c r="O39" s="350"/>
      <c r="P39" s="350"/>
      <c r="Q39" s="350"/>
      <c r="R39" s="350"/>
      <c r="S39" s="350"/>
      <c r="T39" s="350"/>
      <c r="U39" s="350"/>
      <c r="V39" s="350"/>
      <c r="W39" s="350"/>
      <c r="X39" s="350"/>
      <c r="Y39" s="350"/>
      <c r="Z39" s="350"/>
    </row>
    <row r="40" spans="1:12" ht="18.75" customHeight="1">
      <c r="A40" s="483">
        <v>70</v>
      </c>
      <c r="B40" s="301"/>
      <c r="C40" s="293">
        <v>801</v>
      </c>
      <c r="D40" s="294" t="s">
        <v>1003</v>
      </c>
      <c r="E40" s="619"/>
      <c r="F40" s="620">
        <f aca="true" t="shared" si="5" ref="F40:F46">G40+H40+I40+J40</f>
        <v>0</v>
      </c>
      <c r="G40" s="542"/>
      <c r="H40" s="543"/>
      <c r="I40" s="543"/>
      <c r="J40" s="544"/>
      <c r="K40" s="1527">
        <f t="shared" si="1"/>
      </c>
      <c r="L40" s="480"/>
    </row>
    <row r="41" spans="1:26" ht="18.75" customHeight="1">
      <c r="A41" s="483">
        <v>75</v>
      </c>
      <c r="B41" s="301"/>
      <c r="C41" s="295">
        <v>802</v>
      </c>
      <c r="D41" s="296" t="s">
        <v>1004</v>
      </c>
      <c r="E41" s="621"/>
      <c r="F41" s="622">
        <f t="shared" si="5"/>
        <v>0</v>
      </c>
      <c r="G41" s="545"/>
      <c r="H41" s="546"/>
      <c r="I41" s="546"/>
      <c r="J41" s="547"/>
      <c r="K41" s="1527">
        <f t="shared" si="1"/>
      </c>
      <c r="L41" s="480"/>
      <c r="N41" s="352"/>
      <c r="O41" s="352"/>
      <c r="P41" s="352"/>
      <c r="Q41" s="352"/>
      <c r="R41" s="352"/>
      <c r="S41" s="352"/>
      <c r="T41" s="352"/>
      <c r="U41" s="352"/>
      <c r="V41" s="352"/>
      <c r="W41" s="352"/>
      <c r="X41" s="352"/>
      <c r="Y41" s="352"/>
      <c r="Z41" s="352"/>
    </row>
    <row r="42" spans="1:12" ht="18.75" customHeight="1">
      <c r="A42" s="483">
        <v>80</v>
      </c>
      <c r="B42" s="301"/>
      <c r="C42" s="295">
        <v>804</v>
      </c>
      <c r="D42" s="296" t="s">
        <v>1005</v>
      </c>
      <c r="E42" s="621"/>
      <c r="F42" s="622">
        <f t="shared" si="5"/>
        <v>0</v>
      </c>
      <c r="G42" s="545"/>
      <c r="H42" s="546"/>
      <c r="I42" s="546"/>
      <c r="J42" s="547"/>
      <c r="K42" s="1527">
        <f t="shared" si="1"/>
      </c>
      <c r="L42" s="480"/>
    </row>
    <row r="43" spans="1:12" ht="18.75" customHeight="1">
      <c r="A43" s="483">
        <v>85</v>
      </c>
      <c r="B43" s="301"/>
      <c r="C43" s="319">
        <v>809</v>
      </c>
      <c r="D43" s="330" t="s">
        <v>1006</v>
      </c>
      <c r="E43" s="621"/>
      <c r="F43" s="622">
        <f t="shared" si="5"/>
        <v>0</v>
      </c>
      <c r="G43" s="545"/>
      <c r="H43" s="546"/>
      <c r="I43" s="546"/>
      <c r="J43" s="547"/>
      <c r="K43" s="1527">
        <f t="shared" si="1"/>
      </c>
      <c r="L43" s="480"/>
    </row>
    <row r="44" spans="1:12" ht="18.75" customHeight="1">
      <c r="A44" s="483">
        <v>85</v>
      </c>
      <c r="B44" s="301"/>
      <c r="C44" s="319">
        <v>811</v>
      </c>
      <c r="D44" s="330" t="s">
        <v>1438</v>
      </c>
      <c r="E44" s="621"/>
      <c r="F44" s="622">
        <f t="shared" si="5"/>
        <v>0</v>
      </c>
      <c r="G44" s="545"/>
      <c r="H44" s="546"/>
      <c r="I44" s="546"/>
      <c r="J44" s="547"/>
      <c r="K44" s="1527">
        <f t="shared" si="1"/>
      </c>
      <c r="L44" s="480"/>
    </row>
    <row r="45" spans="1:12" ht="18.75" customHeight="1">
      <c r="A45" s="483">
        <v>85</v>
      </c>
      <c r="B45" s="301"/>
      <c r="C45" s="319">
        <v>812</v>
      </c>
      <c r="D45" s="330" t="s">
        <v>1439</v>
      </c>
      <c r="E45" s="621"/>
      <c r="F45" s="622">
        <f t="shared" si="5"/>
        <v>0</v>
      </c>
      <c r="G45" s="545"/>
      <c r="H45" s="546"/>
      <c r="I45" s="546"/>
      <c r="J45" s="547"/>
      <c r="K45" s="1527">
        <f t="shared" si="1"/>
      </c>
      <c r="L45" s="480"/>
    </row>
    <row r="46" spans="1:12" ht="18.75" customHeight="1">
      <c r="A46" s="483">
        <v>85</v>
      </c>
      <c r="B46" s="301"/>
      <c r="C46" s="319">
        <v>814</v>
      </c>
      <c r="D46" s="330" t="s">
        <v>1440</v>
      </c>
      <c r="E46" s="625"/>
      <c r="F46" s="626">
        <f t="shared" si="5"/>
        <v>0</v>
      </c>
      <c r="G46" s="554"/>
      <c r="H46" s="555"/>
      <c r="I46" s="555"/>
      <c r="J46" s="556"/>
      <c r="K46" s="1527">
        <f t="shared" si="1"/>
      </c>
      <c r="L46" s="480"/>
    </row>
    <row r="47" spans="1:26" s="352" customFormat="1" ht="18.75" customHeight="1">
      <c r="A47" s="484">
        <v>95</v>
      </c>
      <c r="B47" s="321">
        <v>1000</v>
      </c>
      <c r="C47" s="322" t="s">
        <v>1007</v>
      </c>
      <c r="D47" s="323"/>
      <c r="E47" s="325">
        <f aca="true" t="shared" si="6" ref="E47:J47">SUM(E48:E51)</f>
        <v>0</v>
      </c>
      <c r="F47" s="325">
        <f t="shared" si="6"/>
        <v>0</v>
      </c>
      <c r="G47" s="612">
        <f t="shared" si="6"/>
        <v>0</v>
      </c>
      <c r="H47" s="613">
        <f t="shared" si="6"/>
        <v>0</v>
      </c>
      <c r="I47" s="614">
        <f t="shared" si="6"/>
        <v>0</v>
      </c>
      <c r="J47" s="615">
        <f t="shared" si="6"/>
        <v>0</v>
      </c>
      <c r="K47" s="1527">
        <f t="shared" si="1"/>
      </c>
      <c r="L47" s="480"/>
      <c r="M47" s="2017"/>
      <c r="N47" s="350"/>
      <c r="O47" s="350"/>
      <c r="P47" s="350"/>
      <c r="Q47" s="350"/>
      <c r="R47" s="350"/>
      <c r="S47" s="350"/>
      <c r="T47" s="350"/>
      <c r="U47" s="350"/>
      <c r="V47" s="350"/>
      <c r="W47" s="350"/>
      <c r="X47" s="350"/>
      <c r="Y47" s="350"/>
      <c r="Z47" s="350"/>
    </row>
    <row r="48" spans="1:12" ht="18.75" customHeight="1">
      <c r="A48" s="483">
        <v>100</v>
      </c>
      <c r="B48" s="301"/>
      <c r="C48" s="293">
        <v>1001</v>
      </c>
      <c r="D48" s="294" t="s">
        <v>1008</v>
      </c>
      <c r="E48" s="619"/>
      <c r="F48" s="620">
        <f>G48+H48+I48+J48</f>
        <v>0</v>
      </c>
      <c r="G48" s="542"/>
      <c r="H48" s="543"/>
      <c r="I48" s="543"/>
      <c r="J48" s="544"/>
      <c r="K48" s="1527">
        <f t="shared" si="1"/>
      </c>
      <c r="L48" s="480"/>
    </row>
    <row r="49" spans="1:26" ht="18.75" customHeight="1">
      <c r="A49" s="483">
        <v>105</v>
      </c>
      <c r="B49" s="301"/>
      <c r="C49" s="295">
        <v>1002</v>
      </c>
      <c r="D49" s="296" t="s">
        <v>1009</v>
      </c>
      <c r="E49" s="621"/>
      <c r="F49" s="622">
        <f>G49+H49+I49+J49</f>
        <v>0</v>
      </c>
      <c r="G49" s="545"/>
      <c r="H49" s="546"/>
      <c r="I49" s="546"/>
      <c r="J49" s="547"/>
      <c r="K49" s="1527">
        <f t="shared" si="1"/>
      </c>
      <c r="L49" s="480"/>
      <c r="N49" s="352"/>
      <c r="O49" s="352"/>
      <c r="P49" s="352"/>
      <c r="Q49" s="352"/>
      <c r="R49" s="352"/>
      <c r="S49" s="352"/>
      <c r="T49" s="352"/>
      <c r="U49" s="352"/>
      <c r="V49" s="352"/>
      <c r="W49" s="352"/>
      <c r="X49" s="352"/>
      <c r="Y49" s="352"/>
      <c r="Z49" s="352"/>
    </row>
    <row r="50" spans="1:12" ht="18.75" customHeight="1">
      <c r="A50" s="483">
        <v>110</v>
      </c>
      <c r="B50" s="301"/>
      <c r="C50" s="295">
        <v>1004</v>
      </c>
      <c r="D50" s="296" t="s">
        <v>1010</v>
      </c>
      <c r="E50" s="621"/>
      <c r="F50" s="622">
        <f>G50+H50+I50+J50</f>
        <v>0</v>
      </c>
      <c r="G50" s="545"/>
      <c r="H50" s="546"/>
      <c r="I50" s="546"/>
      <c r="J50" s="547"/>
      <c r="K50" s="1527">
        <f t="shared" si="1"/>
      </c>
      <c r="L50" s="480"/>
    </row>
    <row r="51" spans="1:12" ht="18.75" customHeight="1">
      <c r="A51" s="483">
        <v>125</v>
      </c>
      <c r="B51" s="301"/>
      <c r="C51" s="298">
        <v>1007</v>
      </c>
      <c r="D51" s="326" t="s">
        <v>1011</v>
      </c>
      <c r="E51" s="625"/>
      <c r="F51" s="626">
        <f>G51+H51+I51+J51</f>
        <v>0</v>
      </c>
      <c r="G51" s="554"/>
      <c r="H51" s="555"/>
      <c r="I51" s="555"/>
      <c r="J51" s="556"/>
      <c r="K51" s="1527">
        <f t="shared" si="1"/>
      </c>
      <c r="L51" s="480"/>
    </row>
    <row r="52" spans="1:26" s="352" customFormat="1" ht="18.75" customHeight="1">
      <c r="A52" s="484">
        <v>130</v>
      </c>
      <c r="B52" s="321">
        <v>1300</v>
      </c>
      <c r="C52" s="322" t="s">
        <v>1012</v>
      </c>
      <c r="D52" s="323"/>
      <c r="E52" s="325">
        <f aca="true" t="shared" si="7" ref="E52:J52">SUM(E53:E57)</f>
        <v>0</v>
      </c>
      <c r="F52" s="325">
        <f t="shared" si="7"/>
        <v>0</v>
      </c>
      <c r="G52" s="612">
        <f t="shared" si="7"/>
        <v>0</v>
      </c>
      <c r="H52" s="613">
        <f t="shared" si="7"/>
        <v>0</v>
      </c>
      <c r="I52" s="614">
        <f t="shared" si="7"/>
        <v>0</v>
      </c>
      <c r="J52" s="615">
        <f t="shared" si="7"/>
        <v>0</v>
      </c>
      <c r="K52" s="1527">
        <f t="shared" si="1"/>
      </c>
      <c r="L52" s="480"/>
      <c r="M52" s="2017"/>
      <c r="N52" s="350"/>
      <c r="O52" s="350"/>
      <c r="P52" s="350"/>
      <c r="Q52" s="350"/>
      <c r="R52" s="350"/>
      <c r="S52" s="350"/>
      <c r="T52" s="350"/>
      <c r="U52" s="350"/>
      <c r="V52" s="350"/>
      <c r="W52" s="350"/>
      <c r="X52" s="350"/>
      <c r="Y52" s="350"/>
      <c r="Z52" s="350"/>
    </row>
    <row r="53" spans="1:12" ht="18.75" customHeight="1">
      <c r="A53" s="483">
        <v>135</v>
      </c>
      <c r="B53" s="292"/>
      <c r="C53" s="293">
        <v>1301</v>
      </c>
      <c r="D53" s="294" t="s">
        <v>1013</v>
      </c>
      <c r="E53" s="619"/>
      <c r="F53" s="620">
        <f>G53+H53+I53+J53</f>
        <v>0</v>
      </c>
      <c r="G53" s="542"/>
      <c r="H53" s="543"/>
      <c r="I53" s="543"/>
      <c r="J53" s="544"/>
      <c r="K53" s="1527">
        <f t="shared" si="1"/>
      </c>
      <c r="L53" s="480"/>
    </row>
    <row r="54" spans="1:26" ht="18.75" customHeight="1">
      <c r="A54" s="483">
        <v>140</v>
      </c>
      <c r="B54" s="292"/>
      <c r="C54" s="295">
        <v>1302</v>
      </c>
      <c r="D54" s="331" t="s">
        <v>2188</v>
      </c>
      <c r="E54" s="621"/>
      <c r="F54" s="622">
        <f>G54+H54+I54+J54</f>
        <v>0</v>
      </c>
      <c r="G54" s="545"/>
      <c r="H54" s="546"/>
      <c r="I54" s="546"/>
      <c r="J54" s="547"/>
      <c r="K54" s="1527">
        <f t="shared" si="1"/>
      </c>
      <c r="L54" s="480"/>
      <c r="N54" s="352"/>
      <c r="O54" s="352"/>
      <c r="P54" s="352"/>
      <c r="Q54" s="352"/>
      <c r="R54" s="352"/>
      <c r="S54" s="352"/>
      <c r="T54" s="352"/>
      <c r="U54" s="352"/>
      <c r="V54" s="352"/>
      <c r="W54" s="352"/>
      <c r="X54" s="352"/>
      <c r="Y54" s="352"/>
      <c r="Z54" s="352"/>
    </row>
    <row r="55" spans="1:12" ht="18.75" customHeight="1">
      <c r="A55" s="483">
        <v>145</v>
      </c>
      <c r="B55" s="292"/>
      <c r="C55" s="295">
        <v>1303</v>
      </c>
      <c r="D55" s="331" t="s">
        <v>2189</v>
      </c>
      <c r="E55" s="621"/>
      <c r="F55" s="622">
        <f>G55+H55+I55+J55</f>
        <v>0</v>
      </c>
      <c r="G55" s="545"/>
      <c r="H55" s="546"/>
      <c r="I55" s="546"/>
      <c r="J55" s="547"/>
      <c r="K55" s="1527">
        <f t="shared" si="1"/>
      </c>
      <c r="L55" s="480"/>
    </row>
    <row r="56" spans="1:12" ht="18.75" customHeight="1">
      <c r="A56" s="483"/>
      <c r="B56" s="292"/>
      <c r="C56" s="295">
        <v>1304</v>
      </c>
      <c r="D56" s="331" t="s">
        <v>2190</v>
      </c>
      <c r="E56" s="621"/>
      <c r="F56" s="622">
        <f>G56+H56+I56+J56</f>
        <v>0</v>
      </c>
      <c r="G56" s="545"/>
      <c r="H56" s="546"/>
      <c r="I56" s="546"/>
      <c r="J56" s="547"/>
      <c r="K56" s="1527">
        <f t="shared" si="1"/>
      </c>
      <c r="L56" s="480"/>
    </row>
    <row r="57" spans="1:12" ht="18.75" customHeight="1">
      <c r="A57" s="483">
        <v>150</v>
      </c>
      <c r="B57" s="292"/>
      <c r="C57" s="319">
        <v>1308</v>
      </c>
      <c r="D57" s="332" t="s">
        <v>2191</v>
      </c>
      <c r="E57" s="625"/>
      <c r="F57" s="626">
        <f>G57+H57+I57+J57</f>
        <v>0</v>
      </c>
      <c r="G57" s="554"/>
      <c r="H57" s="555"/>
      <c r="I57" s="555"/>
      <c r="J57" s="556"/>
      <c r="K57" s="1527">
        <f t="shared" si="1"/>
      </c>
      <c r="L57" s="480"/>
    </row>
    <row r="58" spans="1:26" s="352" customFormat="1" ht="18.75" customHeight="1">
      <c r="A58" s="484">
        <v>160</v>
      </c>
      <c r="B58" s="321">
        <v>1400</v>
      </c>
      <c r="C58" s="322" t="s">
        <v>2192</v>
      </c>
      <c r="D58" s="323"/>
      <c r="E58" s="325">
        <f aca="true" t="shared" si="8" ref="E58:J58">SUM(E59:E60)</f>
        <v>0</v>
      </c>
      <c r="F58" s="325">
        <f t="shared" si="8"/>
        <v>0</v>
      </c>
      <c r="G58" s="612">
        <f t="shared" si="8"/>
        <v>0</v>
      </c>
      <c r="H58" s="613">
        <f t="shared" si="8"/>
        <v>0</v>
      </c>
      <c r="I58" s="614">
        <f t="shared" si="8"/>
        <v>0</v>
      </c>
      <c r="J58" s="615">
        <f t="shared" si="8"/>
        <v>0</v>
      </c>
      <c r="K58" s="1527">
        <f t="shared" si="1"/>
      </c>
      <c r="L58" s="480"/>
      <c r="M58" s="2017"/>
      <c r="N58" s="350"/>
      <c r="O58" s="350"/>
      <c r="P58" s="350"/>
      <c r="Q58" s="350"/>
      <c r="R58" s="350"/>
      <c r="S58" s="350"/>
      <c r="T58" s="350"/>
      <c r="U58" s="350"/>
      <c r="V58" s="350"/>
      <c r="W58" s="350"/>
      <c r="X58" s="350"/>
      <c r="Y58" s="350"/>
      <c r="Z58" s="350"/>
    </row>
    <row r="59" spans="1:12" ht="18.75" customHeight="1">
      <c r="A59" s="483">
        <v>165</v>
      </c>
      <c r="B59" s="292"/>
      <c r="C59" s="293">
        <v>1401</v>
      </c>
      <c r="D59" s="294" t="s">
        <v>2193</v>
      </c>
      <c r="E59" s="619"/>
      <c r="F59" s="620">
        <f>G59+H59+I59+J59</f>
        <v>0</v>
      </c>
      <c r="G59" s="542"/>
      <c r="H59" s="543"/>
      <c r="I59" s="543"/>
      <c r="J59" s="544"/>
      <c r="K59" s="1527">
        <f t="shared" si="1"/>
      </c>
      <c r="L59" s="480"/>
    </row>
    <row r="60" spans="1:26" ht="18.75" customHeight="1">
      <c r="A60" s="483">
        <v>170</v>
      </c>
      <c r="B60" s="292"/>
      <c r="C60" s="298">
        <v>1402</v>
      </c>
      <c r="D60" s="333" t="s">
        <v>2194</v>
      </c>
      <c r="E60" s="625"/>
      <c r="F60" s="626">
        <f>G60+H60+I60+J60</f>
        <v>0</v>
      </c>
      <c r="G60" s="554"/>
      <c r="H60" s="555"/>
      <c r="I60" s="555"/>
      <c r="J60" s="556"/>
      <c r="K60" s="1527">
        <f t="shared" si="1"/>
      </c>
      <c r="L60" s="480"/>
      <c r="N60" s="352"/>
      <c r="O60" s="352"/>
      <c r="P60" s="352"/>
      <c r="Q60" s="352"/>
      <c r="R60" s="352"/>
      <c r="S60" s="352"/>
      <c r="T60" s="352"/>
      <c r="U60" s="352"/>
      <c r="V60" s="352"/>
      <c r="W60" s="352"/>
      <c r="X60" s="352"/>
      <c r="Y60" s="352"/>
      <c r="Z60" s="352"/>
    </row>
    <row r="61" spans="1:26" s="352" customFormat="1" ht="18.75" customHeight="1">
      <c r="A61" s="484">
        <v>175</v>
      </c>
      <c r="B61" s="321">
        <v>1500</v>
      </c>
      <c r="C61" s="322" t="s">
        <v>2195</v>
      </c>
      <c r="D61" s="323"/>
      <c r="E61" s="325">
        <f aca="true" t="shared" si="9" ref="E61:J61">SUM(E62:E63)</f>
        <v>0</v>
      </c>
      <c r="F61" s="325">
        <f t="shared" si="9"/>
        <v>0</v>
      </c>
      <c r="G61" s="612">
        <f t="shared" si="9"/>
        <v>0</v>
      </c>
      <c r="H61" s="613">
        <f t="shared" si="9"/>
        <v>0</v>
      </c>
      <c r="I61" s="614">
        <f t="shared" si="9"/>
        <v>0</v>
      </c>
      <c r="J61" s="615">
        <f t="shared" si="9"/>
        <v>0</v>
      </c>
      <c r="K61" s="1527">
        <f t="shared" si="1"/>
      </c>
      <c r="L61" s="480"/>
      <c r="M61" s="2017"/>
      <c r="N61" s="350"/>
      <c r="O61" s="350"/>
      <c r="P61" s="350"/>
      <c r="Q61" s="350"/>
      <c r="R61" s="350"/>
      <c r="S61" s="350"/>
      <c r="T61" s="350"/>
      <c r="U61" s="350"/>
      <c r="V61" s="350"/>
      <c r="W61" s="350"/>
      <c r="X61" s="350"/>
      <c r="Y61" s="350"/>
      <c r="Z61" s="350"/>
    </row>
    <row r="62" spans="1:12" ht="18.75" customHeight="1">
      <c r="A62" s="483">
        <v>180</v>
      </c>
      <c r="B62" s="292"/>
      <c r="C62" s="293">
        <v>1501</v>
      </c>
      <c r="D62" s="334" t="s">
        <v>2196</v>
      </c>
      <c r="E62" s="619"/>
      <c r="F62" s="620">
        <f>G62+H62+I62+J62</f>
        <v>0</v>
      </c>
      <c r="G62" s="542"/>
      <c r="H62" s="543"/>
      <c r="I62" s="543"/>
      <c r="J62" s="544"/>
      <c r="K62" s="1527">
        <f t="shared" si="1"/>
      </c>
      <c r="L62" s="480"/>
    </row>
    <row r="63" spans="1:26" ht="18.75" customHeight="1">
      <c r="A63" s="483">
        <v>185</v>
      </c>
      <c r="B63" s="292"/>
      <c r="C63" s="298">
        <v>1502</v>
      </c>
      <c r="D63" s="335" t="s">
        <v>2197</v>
      </c>
      <c r="E63" s="625"/>
      <c r="F63" s="626">
        <f>G63+H63+I63+J63</f>
        <v>0</v>
      </c>
      <c r="G63" s="554"/>
      <c r="H63" s="555"/>
      <c r="I63" s="555"/>
      <c r="J63" s="556"/>
      <c r="K63" s="1527">
        <f t="shared" si="1"/>
      </c>
      <c r="L63" s="480"/>
      <c r="N63" s="352"/>
      <c r="O63" s="352"/>
      <c r="P63" s="352"/>
      <c r="Q63" s="352"/>
      <c r="R63" s="352"/>
      <c r="S63" s="352"/>
      <c r="T63" s="352"/>
      <c r="U63" s="352"/>
      <c r="V63" s="352"/>
      <c r="W63" s="352"/>
      <c r="X63" s="352"/>
      <c r="Y63" s="352"/>
      <c r="Z63" s="352"/>
    </row>
    <row r="64" spans="1:12" ht="18.75" customHeight="1">
      <c r="A64" s="483"/>
      <c r="B64" s="321">
        <v>1600</v>
      </c>
      <c r="C64" s="322" t="s">
        <v>2198</v>
      </c>
      <c r="D64" s="323"/>
      <c r="E64" s="324"/>
      <c r="F64" s="325">
        <f>G64+H64+I64+J64</f>
        <v>0</v>
      </c>
      <c r="G64" s="1335"/>
      <c r="H64" s="1336"/>
      <c r="I64" s="1336"/>
      <c r="J64" s="1337"/>
      <c r="K64" s="1527">
        <f t="shared" si="1"/>
      </c>
      <c r="L64" s="480"/>
    </row>
    <row r="65" spans="1:26" s="352" customFormat="1" ht="18.75" customHeight="1">
      <c r="A65" s="484">
        <v>200</v>
      </c>
      <c r="B65" s="321">
        <v>1700</v>
      </c>
      <c r="C65" s="322" t="s">
        <v>2199</v>
      </c>
      <c r="D65" s="323"/>
      <c r="E65" s="325">
        <f aca="true" t="shared" si="10" ref="E65:J65">SUM(E66:E71)</f>
        <v>0</v>
      </c>
      <c r="F65" s="325">
        <f t="shared" si="10"/>
        <v>0</v>
      </c>
      <c r="G65" s="612">
        <f t="shared" si="10"/>
        <v>0</v>
      </c>
      <c r="H65" s="613">
        <f t="shared" si="10"/>
        <v>0</v>
      </c>
      <c r="I65" s="614">
        <f t="shared" si="10"/>
        <v>0</v>
      </c>
      <c r="J65" s="615">
        <f t="shared" si="10"/>
        <v>0</v>
      </c>
      <c r="K65" s="1527">
        <f t="shared" si="1"/>
      </c>
      <c r="L65" s="480"/>
      <c r="M65" s="2017"/>
      <c r="N65" s="350"/>
      <c r="O65" s="350"/>
      <c r="P65" s="350"/>
      <c r="Q65" s="350"/>
      <c r="R65" s="350"/>
      <c r="S65" s="350"/>
      <c r="T65" s="350"/>
      <c r="U65" s="350"/>
      <c r="V65" s="350"/>
      <c r="W65" s="350"/>
      <c r="X65" s="350"/>
      <c r="Y65" s="350"/>
      <c r="Z65" s="350"/>
    </row>
    <row r="66" spans="1:12" ht="18.75" customHeight="1">
      <c r="A66" s="483">
        <v>205</v>
      </c>
      <c r="B66" s="292"/>
      <c r="C66" s="293">
        <v>1701</v>
      </c>
      <c r="D66" s="294" t="s">
        <v>2200</v>
      </c>
      <c r="E66" s="619"/>
      <c r="F66" s="620">
        <f aca="true" t="shared" si="11" ref="F66:F74">G66+H66+I66+J66</f>
        <v>0</v>
      </c>
      <c r="G66" s="542"/>
      <c r="H66" s="543"/>
      <c r="I66" s="543"/>
      <c r="J66" s="544"/>
      <c r="K66" s="1527">
        <f t="shared" si="1"/>
      </c>
      <c r="L66" s="480"/>
    </row>
    <row r="67" spans="1:26" ht="18.75" customHeight="1">
      <c r="A67" s="483">
        <v>210</v>
      </c>
      <c r="B67" s="292"/>
      <c r="C67" s="295">
        <v>1702</v>
      </c>
      <c r="D67" s="296" t="s">
        <v>2099</v>
      </c>
      <c r="E67" s="621"/>
      <c r="F67" s="622">
        <f t="shared" si="11"/>
        <v>0</v>
      </c>
      <c r="G67" s="545"/>
      <c r="H67" s="546"/>
      <c r="I67" s="546"/>
      <c r="J67" s="547"/>
      <c r="K67" s="1527">
        <f t="shared" si="1"/>
      </c>
      <c r="L67" s="480"/>
      <c r="N67" s="352"/>
      <c r="O67" s="352"/>
      <c r="P67" s="352"/>
      <c r="Q67" s="352"/>
      <c r="R67" s="352"/>
      <c r="S67" s="352"/>
      <c r="T67" s="352"/>
      <c r="U67" s="352"/>
      <c r="V67" s="352"/>
      <c r="W67" s="352"/>
      <c r="X67" s="352"/>
      <c r="Y67" s="352"/>
      <c r="Z67" s="352"/>
    </row>
    <row r="68" spans="1:12" ht="18.75" customHeight="1">
      <c r="A68" s="483">
        <v>215</v>
      </c>
      <c r="B68" s="292"/>
      <c r="C68" s="295">
        <v>1703</v>
      </c>
      <c r="D68" s="296" t="s">
        <v>2201</v>
      </c>
      <c r="E68" s="621"/>
      <c r="F68" s="622">
        <f t="shared" si="11"/>
        <v>0</v>
      </c>
      <c r="G68" s="545"/>
      <c r="H68" s="546"/>
      <c r="I68" s="546"/>
      <c r="J68" s="547"/>
      <c r="K68" s="1527">
        <f t="shared" si="1"/>
      </c>
      <c r="L68" s="480"/>
    </row>
    <row r="69" spans="1:12" ht="18.75" customHeight="1">
      <c r="A69" s="483">
        <v>225</v>
      </c>
      <c r="B69" s="292"/>
      <c r="C69" s="295">
        <v>1706</v>
      </c>
      <c r="D69" s="296" t="s">
        <v>2202</v>
      </c>
      <c r="E69" s="621"/>
      <c r="F69" s="622">
        <f t="shared" si="11"/>
        <v>0</v>
      </c>
      <c r="G69" s="545"/>
      <c r="H69" s="546"/>
      <c r="I69" s="546"/>
      <c r="J69" s="547"/>
      <c r="K69" s="1527">
        <f t="shared" si="1"/>
      </c>
      <c r="L69" s="480"/>
    </row>
    <row r="70" spans="1:12" ht="18.75" customHeight="1">
      <c r="A70" s="483">
        <v>226</v>
      </c>
      <c r="B70" s="292"/>
      <c r="C70" s="295">
        <v>1707</v>
      </c>
      <c r="D70" s="296" t="s">
        <v>2203</v>
      </c>
      <c r="E70" s="621"/>
      <c r="F70" s="622">
        <f t="shared" si="11"/>
        <v>0</v>
      </c>
      <c r="G70" s="545"/>
      <c r="H70" s="546"/>
      <c r="I70" s="546"/>
      <c r="J70" s="547"/>
      <c r="K70" s="1527">
        <f t="shared" si="1"/>
      </c>
      <c r="L70" s="480"/>
    </row>
    <row r="71" spans="1:12" ht="18.75" customHeight="1">
      <c r="A71" s="483">
        <v>227</v>
      </c>
      <c r="B71" s="292"/>
      <c r="C71" s="298">
        <v>1709</v>
      </c>
      <c r="D71" s="326" t="s">
        <v>2204</v>
      </c>
      <c r="E71" s="625"/>
      <c r="F71" s="626">
        <f t="shared" si="11"/>
        <v>0</v>
      </c>
      <c r="G71" s="554"/>
      <c r="H71" s="555"/>
      <c r="I71" s="555"/>
      <c r="J71" s="556"/>
      <c r="K71" s="1527">
        <f t="shared" si="1"/>
      </c>
      <c r="L71" s="480"/>
    </row>
    <row r="72" spans="1:26" s="352" customFormat="1" ht="18.75" customHeight="1">
      <c r="A72" s="484">
        <v>231</v>
      </c>
      <c r="B72" s="321">
        <v>1800</v>
      </c>
      <c r="C72" s="322" t="s">
        <v>2205</v>
      </c>
      <c r="D72" s="323"/>
      <c r="E72" s="324"/>
      <c r="F72" s="325">
        <f t="shared" si="11"/>
        <v>0</v>
      </c>
      <c r="G72" s="1335"/>
      <c r="H72" s="1336"/>
      <c r="I72" s="1336"/>
      <c r="J72" s="1337"/>
      <c r="K72" s="1527">
        <f t="shared" si="1"/>
      </c>
      <c r="L72" s="480"/>
      <c r="M72" s="2017"/>
      <c r="N72" s="350"/>
      <c r="O72" s="350"/>
      <c r="P72" s="350"/>
      <c r="Q72" s="350"/>
      <c r="R72" s="350"/>
      <c r="S72" s="350"/>
      <c r="T72" s="350"/>
      <c r="U72" s="350"/>
      <c r="V72" s="350"/>
      <c r="W72" s="350"/>
      <c r="X72" s="350"/>
      <c r="Y72" s="350"/>
      <c r="Z72" s="350"/>
    </row>
    <row r="73" spans="1:26" s="352" customFormat="1" ht="18.75" customHeight="1">
      <c r="A73" s="484">
        <v>235</v>
      </c>
      <c r="B73" s="321">
        <v>1900</v>
      </c>
      <c r="C73" s="322" t="s">
        <v>2206</v>
      </c>
      <c r="D73" s="323"/>
      <c r="E73" s="324"/>
      <c r="F73" s="325">
        <f t="shared" si="11"/>
        <v>0</v>
      </c>
      <c r="G73" s="1335"/>
      <c r="H73" s="1336"/>
      <c r="I73" s="1336"/>
      <c r="J73" s="1337"/>
      <c r="K73" s="1527">
        <f t="shared" si="1"/>
      </c>
      <c r="L73" s="480"/>
      <c r="M73" s="2017"/>
      <c r="N73" s="350"/>
      <c r="O73" s="350"/>
      <c r="P73" s="350"/>
      <c r="Q73" s="350"/>
      <c r="R73" s="350"/>
      <c r="S73" s="350"/>
      <c r="T73" s="350"/>
      <c r="U73" s="350"/>
      <c r="V73" s="350"/>
      <c r="W73" s="350"/>
      <c r="X73" s="350"/>
      <c r="Y73" s="350"/>
      <c r="Z73" s="350"/>
    </row>
    <row r="74" spans="1:13" s="352" customFormat="1" ht="18.75" customHeight="1">
      <c r="A74" s="484">
        <v>255</v>
      </c>
      <c r="B74" s="321">
        <v>2000</v>
      </c>
      <c r="C74" s="322" t="s">
        <v>2207</v>
      </c>
      <c r="D74" s="323"/>
      <c r="E74" s="324"/>
      <c r="F74" s="325">
        <f t="shared" si="11"/>
        <v>0</v>
      </c>
      <c r="G74" s="1335"/>
      <c r="H74" s="1336"/>
      <c r="I74" s="1336"/>
      <c r="J74" s="1337"/>
      <c r="K74" s="1527">
        <f t="shared" si="1"/>
      </c>
      <c r="L74" s="480"/>
      <c r="M74" s="2017"/>
    </row>
    <row r="75" spans="1:13" s="352" customFormat="1" ht="18.75" customHeight="1">
      <c r="A75" s="484">
        <v>265</v>
      </c>
      <c r="B75" s="321">
        <v>2400</v>
      </c>
      <c r="C75" s="322" t="s">
        <v>2208</v>
      </c>
      <c r="D75" s="323"/>
      <c r="E75" s="325">
        <f aca="true" t="shared" si="12" ref="E75:J75">SUM(E76:E90)</f>
        <v>0</v>
      </c>
      <c r="F75" s="325">
        <f t="shared" si="12"/>
        <v>0</v>
      </c>
      <c r="G75" s="612">
        <f t="shared" si="12"/>
        <v>0</v>
      </c>
      <c r="H75" s="613">
        <f t="shared" si="12"/>
        <v>0</v>
      </c>
      <c r="I75" s="614">
        <f t="shared" si="12"/>
        <v>0</v>
      </c>
      <c r="J75" s="615">
        <f t="shared" si="12"/>
        <v>0</v>
      </c>
      <c r="K75" s="1527">
        <f t="shared" si="1"/>
      </c>
      <c r="L75" s="480"/>
      <c r="M75" s="2017"/>
    </row>
    <row r="76" spans="1:12" ht="18.75" customHeight="1">
      <c r="A76" s="483">
        <v>270</v>
      </c>
      <c r="B76" s="292"/>
      <c r="C76" s="293">
        <v>2401</v>
      </c>
      <c r="D76" s="334" t="s">
        <v>2209</v>
      </c>
      <c r="E76" s="619"/>
      <c r="F76" s="620">
        <f aca="true" t="shared" si="13" ref="F76:F90">G76+H76+I76+J76</f>
        <v>0</v>
      </c>
      <c r="G76" s="542"/>
      <c r="H76" s="543"/>
      <c r="I76" s="543"/>
      <c r="J76" s="544"/>
      <c r="K76" s="1527">
        <f t="shared" si="1"/>
      </c>
      <c r="L76" s="480"/>
    </row>
    <row r="77" spans="1:26" ht="18.75" customHeight="1">
      <c r="A77" s="483">
        <v>280</v>
      </c>
      <c r="B77" s="292"/>
      <c r="C77" s="295">
        <v>2403</v>
      </c>
      <c r="D77" s="331" t="s">
        <v>2210</v>
      </c>
      <c r="E77" s="621"/>
      <c r="F77" s="622">
        <f t="shared" si="13"/>
        <v>0</v>
      </c>
      <c r="G77" s="545"/>
      <c r="H77" s="546"/>
      <c r="I77" s="546"/>
      <c r="J77" s="547"/>
      <c r="K77" s="1527">
        <f t="shared" si="1"/>
      </c>
      <c r="L77" s="480"/>
      <c r="N77" s="352"/>
      <c r="O77" s="352"/>
      <c r="P77" s="352"/>
      <c r="Q77" s="352"/>
      <c r="R77" s="352"/>
      <c r="S77" s="352"/>
      <c r="T77" s="352"/>
      <c r="U77" s="352"/>
      <c r="V77" s="352"/>
      <c r="W77" s="352"/>
      <c r="X77" s="352"/>
      <c r="Y77" s="352"/>
      <c r="Z77" s="352"/>
    </row>
    <row r="78" spans="1:12" ht="18.75" customHeight="1">
      <c r="A78" s="483">
        <v>285</v>
      </c>
      <c r="B78" s="292"/>
      <c r="C78" s="295">
        <v>2404</v>
      </c>
      <c r="D78" s="296" t="s">
        <v>2211</v>
      </c>
      <c r="E78" s="621"/>
      <c r="F78" s="622">
        <f t="shared" si="13"/>
        <v>0</v>
      </c>
      <c r="G78" s="545"/>
      <c r="H78" s="546"/>
      <c r="I78" s="546"/>
      <c r="J78" s="547"/>
      <c r="K78" s="1527">
        <f t="shared" si="1"/>
      </c>
      <c r="L78" s="480"/>
    </row>
    <row r="79" spans="1:12" ht="18.75" customHeight="1">
      <c r="A79" s="483">
        <v>290</v>
      </c>
      <c r="B79" s="292"/>
      <c r="C79" s="295">
        <v>2405</v>
      </c>
      <c r="D79" s="331" t="s">
        <v>2212</v>
      </c>
      <c r="E79" s="621"/>
      <c r="F79" s="622">
        <f t="shared" si="13"/>
        <v>0</v>
      </c>
      <c r="G79" s="545"/>
      <c r="H79" s="546"/>
      <c r="I79" s="546"/>
      <c r="J79" s="547"/>
      <c r="K79" s="1527">
        <f t="shared" si="1"/>
      </c>
      <c r="L79" s="480"/>
    </row>
    <row r="80" spans="1:12" ht="18.75" customHeight="1">
      <c r="A80" s="483">
        <v>295</v>
      </c>
      <c r="B80" s="292"/>
      <c r="C80" s="295">
        <v>2406</v>
      </c>
      <c r="D80" s="331" t="s">
        <v>2213</v>
      </c>
      <c r="E80" s="621"/>
      <c r="F80" s="622">
        <f t="shared" si="13"/>
        <v>0</v>
      </c>
      <c r="G80" s="545"/>
      <c r="H80" s="546"/>
      <c r="I80" s="546"/>
      <c r="J80" s="547"/>
      <c r="K80" s="1527">
        <f t="shared" si="1"/>
      </c>
      <c r="L80" s="480"/>
    </row>
    <row r="81" spans="1:12" ht="18.75" customHeight="1">
      <c r="A81" s="483">
        <v>300</v>
      </c>
      <c r="B81" s="292"/>
      <c r="C81" s="295">
        <v>2407</v>
      </c>
      <c r="D81" s="331" t="s">
        <v>2214</v>
      </c>
      <c r="E81" s="621"/>
      <c r="F81" s="622">
        <f t="shared" si="13"/>
        <v>0</v>
      </c>
      <c r="G81" s="545"/>
      <c r="H81" s="546"/>
      <c r="I81" s="546"/>
      <c r="J81" s="547"/>
      <c r="K81" s="1527">
        <f t="shared" si="1"/>
      </c>
      <c r="L81" s="480"/>
    </row>
    <row r="82" spans="1:12" ht="18.75" customHeight="1">
      <c r="A82" s="483">
        <v>305</v>
      </c>
      <c r="B82" s="292"/>
      <c r="C82" s="295">
        <v>2408</v>
      </c>
      <c r="D82" s="331" t="s">
        <v>2215</v>
      </c>
      <c r="E82" s="621"/>
      <c r="F82" s="622">
        <f t="shared" si="13"/>
        <v>0</v>
      </c>
      <c r="G82" s="545"/>
      <c r="H82" s="546"/>
      <c r="I82" s="546"/>
      <c r="J82" s="547"/>
      <c r="K82" s="1527">
        <f t="shared" si="1"/>
      </c>
      <c r="L82" s="480"/>
    </row>
    <row r="83" spans="1:12" ht="18.75" customHeight="1">
      <c r="A83" s="483">
        <v>310</v>
      </c>
      <c r="B83" s="292"/>
      <c r="C83" s="295">
        <v>2409</v>
      </c>
      <c r="D83" s="331" t="s">
        <v>2216</v>
      </c>
      <c r="E83" s="621"/>
      <c r="F83" s="622">
        <f t="shared" si="13"/>
        <v>0</v>
      </c>
      <c r="G83" s="545"/>
      <c r="H83" s="546"/>
      <c r="I83" s="546"/>
      <c r="J83" s="547"/>
      <c r="K83" s="1527">
        <f t="shared" si="1"/>
      </c>
      <c r="L83" s="480"/>
    </row>
    <row r="84" spans="1:12" ht="18.75" customHeight="1">
      <c r="A84" s="483">
        <v>315</v>
      </c>
      <c r="B84" s="292"/>
      <c r="C84" s="295">
        <v>2410</v>
      </c>
      <c r="D84" s="331" t="s">
        <v>2217</v>
      </c>
      <c r="E84" s="621"/>
      <c r="F84" s="622">
        <f t="shared" si="13"/>
        <v>0</v>
      </c>
      <c r="G84" s="545"/>
      <c r="H84" s="546"/>
      <c r="I84" s="546"/>
      <c r="J84" s="547"/>
      <c r="K84" s="1527">
        <f t="shared" si="1"/>
      </c>
      <c r="L84" s="480"/>
    </row>
    <row r="85" spans="1:12" ht="18.75" customHeight="1">
      <c r="A85" s="483">
        <v>325</v>
      </c>
      <c r="B85" s="292"/>
      <c r="C85" s="295">
        <v>2412</v>
      </c>
      <c r="D85" s="296" t="s">
        <v>2218</v>
      </c>
      <c r="E85" s="621"/>
      <c r="F85" s="622">
        <f t="shared" si="13"/>
        <v>0</v>
      </c>
      <c r="G85" s="545"/>
      <c r="H85" s="546"/>
      <c r="I85" s="546"/>
      <c r="J85" s="547"/>
      <c r="K85" s="1527">
        <f t="shared" si="1"/>
      </c>
      <c r="L85" s="480"/>
    </row>
    <row r="86" spans="1:12" ht="18.75" customHeight="1">
      <c r="A86" s="483">
        <v>330</v>
      </c>
      <c r="B86" s="292"/>
      <c r="C86" s="295">
        <v>2413</v>
      </c>
      <c r="D86" s="331" t="s">
        <v>2219</v>
      </c>
      <c r="E86" s="621"/>
      <c r="F86" s="622">
        <f t="shared" si="13"/>
        <v>0</v>
      </c>
      <c r="G86" s="545"/>
      <c r="H86" s="546"/>
      <c r="I86" s="546"/>
      <c r="J86" s="547"/>
      <c r="K86" s="1527">
        <f t="shared" si="1"/>
      </c>
      <c r="L86" s="480"/>
    </row>
    <row r="87" spans="1:12" ht="24.75" customHeight="1">
      <c r="A87" s="485">
        <v>335</v>
      </c>
      <c r="B87" s="292"/>
      <c r="C87" s="295">
        <v>2415</v>
      </c>
      <c r="D87" s="296" t="s">
        <v>2220</v>
      </c>
      <c r="E87" s="621"/>
      <c r="F87" s="622">
        <f t="shared" si="13"/>
        <v>0</v>
      </c>
      <c r="G87" s="545"/>
      <c r="H87" s="546"/>
      <c r="I87" s="546"/>
      <c r="J87" s="547"/>
      <c r="K87" s="1527">
        <f t="shared" si="1"/>
      </c>
      <c r="L87" s="480"/>
    </row>
    <row r="88" spans="1:12" ht="18.75" customHeight="1">
      <c r="A88" s="486">
        <v>340</v>
      </c>
      <c r="B88" s="302"/>
      <c r="C88" s="295">
        <v>2417</v>
      </c>
      <c r="D88" s="336" t="s">
        <v>2160</v>
      </c>
      <c r="E88" s="621"/>
      <c r="F88" s="622">
        <f>G88+H88+I88+J88</f>
        <v>0</v>
      </c>
      <c r="G88" s="545"/>
      <c r="H88" s="546"/>
      <c r="I88" s="546"/>
      <c r="J88" s="547"/>
      <c r="K88" s="1527">
        <f t="shared" si="1"/>
      </c>
      <c r="L88" s="480"/>
    </row>
    <row r="89" spans="1:12" ht="18.75" customHeight="1">
      <c r="A89" s="486">
        <v>340</v>
      </c>
      <c r="B89" s="302"/>
      <c r="C89" s="295">
        <v>2418</v>
      </c>
      <c r="D89" s="336" t="s">
        <v>2221</v>
      </c>
      <c r="E89" s="621"/>
      <c r="F89" s="622">
        <f t="shared" si="13"/>
        <v>0</v>
      </c>
      <c r="G89" s="545"/>
      <c r="H89" s="546"/>
      <c r="I89" s="546"/>
      <c r="J89" s="547"/>
      <c r="K89" s="1527">
        <f t="shared" si="1"/>
      </c>
      <c r="L89" s="480"/>
    </row>
    <row r="90" spans="1:12" ht="18.75" customHeight="1">
      <c r="A90" s="486">
        <v>345</v>
      </c>
      <c r="B90" s="303"/>
      <c r="C90" s="298">
        <v>2419</v>
      </c>
      <c r="D90" s="333" t="s">
        <v>2222</v>
      </c>
      <c r="E90" s="625"/>
      <c r="F90" s="626">
        <f t="shared" si="13"/>
        <v>0</v>
      </c>
      <c r="G90" s="554"/>
      <c r="H90" s="555"/>
      <c r="I90" s="555"/>
      <c r="J90" s="556"/>
      <c r="K90" s="1527">
        <f aca="true" t="shared" si="14" ref="K90:K155">(IF($E90&lt;&gt;0,$K$2,IF($F90&lt;&gt;0,$K$2,IF($G90&lt;&gt;0,$K$2,IF($H90&lt;&gt;0,$K$2,IF($I90&lt;&gt;0,$K$2,IF($J90&lt;&gt;0,$K$2,"")))))))</f>
      </c>
      <c r="L90" s="480"/>
    </row>
    <row r="91" spans="1:26" s="352" customFormat="1" ht="18.75" customHeight="1">
      <c r="A91" s="487">
        <v>350</v>
      </c>
      <c r="B91" s="321">
        <v>2500</v>
      </c>
      <c r="C91" s="322" t="s">
        <v>2223</v>
      </c>
      <c r="D91" s="323"/>
      <c r="E91" s="325">
        <f aca="true" t="shared" si="15" ref="E91:J91">SUM(E92:E93)</f>
        <v>62950000</v>
      </c>
      <c r="F91" s="325">
        <f t="shared" si="15"/>
        <v>43785780</v>
      </c>
      <c r="G91" s="612">
        <f t="shared" si="15"/>
        <v>43699714</v>
      </c>
      <c r="H91" s="613">
        <f t="shared" si="15"/>
        <v>0</v>
      </c>
      <c r="I91" s="614">
        <f t="shared" si="15"/>
        <v>4792</v>
      </c>
      <c r="J91" s="615">
        <f t="shared" si="15"/>
        <v>81274</v>
      </c>
      <c r="K91" s="1527">
        <f t="shared" si="14"/>
        <v>1</v>
      </c>
      <c r="L91" s="480"/>
      <c r="M91" s="2017"/>
      <c r="N91" s="350"/>
      <c r="O91" s="350"/>
      <c r="P91" s="350"/>
      <c r="Q91" s="350"/>
      <c r="R91" s="350"/>
      <c r="S91" s="350"/>
      <c r="T91" s="350"/>
      <c r="U91" s="350"/>
      <c r="V91" s="350"/>
      <c r="W91" s="350"/>
      <c r="X91" s="350"/>
      <c r="Y91" s="350"/>
      <c r="Z91" s="350"/>
    </row>
    <row r="92" spans="1:12" ht="18.75" customHeight="1">
      <c r="A92" s="486">
        <v>355</v>
      </c>
      <c r="B92" s="302"/>
      <c r="C92" s="293">
        <v>2501</v>
      </c>
      <c r="D92" s="337" t="s">
        <v>2224</v>
      </c>
      <c r="E92" s="619">
        <v>62950000</v>
      </c>
      <c r="F92" s="620">
        <f>G92+H92+I92+J92</f>
        <v>43785780</v>
      </c>
      <c r="G92" s="542">
        <v>43699714</v>
      </c>
      <c r="H92" s="543"/>
      <c r="I92" s="543">
        <v>4792</v>
      </c>
      <c r="J92" s="544">
        <v>81274</v>
      </c>
      <c r="K92" s="1527">
        <f t="shared" si="14"/>
        <v>1</v>
      </c>
      <c r="L92" s="480"/>
    </row>
    <row r="93" spans="1:26" ht="18.75" customHeight="1">
      <c r="A93" s="486">
        <v>356</v>
      </c>
      <c r="B93" s="303"/>
      <c r="C93" s="298">
        <v>2502</v>
      </c>
      <c r="D93" s="338" t="s">
        <v>648</v>
      </c>
      <c r="E93" s="625"/>
      <c r="F93" s="626">
        <f>G93+H93+I93+J93</f>
        <v>0</v>
      </c>
      <c r="G93" s="554"/>
      <c r="H93" s="555"/>
      <c r="I93" s="555"/>
      <c r="J93" s="556"/>
      <c r="K93" s="1527">
        <f t="shared" si="14"/>
      </c>
      <c r="L93" s="480"/>
      <c r="N93" s="352"/>
      <c r="O93" s="352"/>
      <c r="P93" s="352"/>
      <c r="Q93" s="352"/>
      <c r="R93" s="352"/>
      <c r="S93" s="352"/>
      <c r="T93" s="352"/>
      <c r="U93" s="352"/>
      <c r="V93" s="352"/>
      <c r="W93" s="352"/>
      <c r="X93" s="352"/>
      <c r="Y93" s="352"/>
      <c r="Z93" s="352"/>
    </row>
    <row r="94" spans="1:26" s="352" customFormat="1" ht="18.75" customHeight="1">
      <c r="A94" s="488">
        <v>360</v>
      </c>
      <c r="B94" s="321">
        <v>2600</v>
      </c>
      <c r="C94" s="322" t="s">
        <v>649</v>
      </c>
      <c r="D94" s="323"/>
      <c r="E94" s="324"/>
      <c r="F94" s="325">
        <f>G94+H94+I94+J94</f>
        <v>0</v>
      </c>
      <c r="G94" s="1335"/>
      <c r="H94" s="1336"/>
      <c r="I94" s="1336"/>
      <c r="J94" s="1337"/>
      <c r="K94" s="1527">
        <f t="shared" si="14"/>
      </c>
      <c r="L94" s="480"/>
      <c r="M94" s="2017"/>
      <c r="N94" s="350"/>
      <c r="O94" s="350"/>
      <c r="P94" s="350"/>
      <c r="Q94" s="350"/>
      <c r="R94" s="350"/>
      <c r="S94" s="350"/>
      <c r="T94" s="350"/>
      <c r="U94" s="350"/>
      <c r="V94" s="350"/>
      <c r="W94" s="350"/>
      <c r="X94" s="350"/>
      <c r="Y94" s="350"/>
      <c r="Z94" s="350"/>
    </row>
    <row r="95" spans="1:26" s="352" customFormat="1" ht="18.75" customHeight="1">
      <c r="A95" s="488">
        <v>370</v>
      </c>
      <c r="B95" s="321">
        <v>2700</v>
      </c>
      <c r="C95" s="322" t="s">
        <v>650</v>
      </c>
      <c r="D95" s="323"/>
      <c r="E95" s="325">
        <f aca="true" t="shared" si="16" ref="E95:J95">SUM(E96:E108)</f>
        <v>0</v>
      </c>
      <c r="F95" s="325">
        <f t="shared" si="16"/>
        <v>0</v>
      </c>
      <c r="G95" s="612">
        <f t="shared" si="16"/>
        <v>0</v>
      </c>
      <c r="H95" s="613">
        <f t="shared" si="16"/>
        <v>0</v>
      </c>
      <c r="I95" s="614">
        <f t="shared" si="16"/>
        <v>0</v>
      </c>
      <c r="J95" s="615">
        <f t="shared" si="16"/>
        <v>0</v>
      </c>
      <c r="K95" s="1527">
        <f t="shared" si="14"/>
      </c>
      <c r="L95" s="480"/>
      <c r="M95" s="2017"/>
      <c r="N95" s="350"/>
      <c r="O95" s="350"/>
      <c r="P95" s="350"/>
      <c r="Q95" s="350"/>
      <c r="R95" s="350"/>
      <c r="S95" s="350"/>
      <c r="T95" s="350"/>
      <c r="U95" s="350"/>
      <c r="V95" s="350"/>
      <c r="W95" s="350"/>
      <c r="X95" s="350"/>
      <c r="Y95" s="350"/>
      <c r="Z95" s="350"/>
    </row>
    <row r="96" spans="1:26" ht="18.75" customHeight="1">
      <c r="A96" s="489">
        <v>375</v>
      </c>
      <c r="B96" s="292"/>
      <c r="C96" s="293">
        <v>2701</v>
      </c>
      <c r="D96" s="294" t="s">
        <v>651</v>
      </c>
      <c r="E96" s="619"/>
      <c r="F96" s="620">
        <f aca="true" t="shared" si="17" ref="F96:F108">G96+H96+I96+J96</f>
        <v>0</v>
      </c>
      <c r="G96" s="542"/>
      <c r="H96" s="543"/>
      <c r="I96" s="543"/>
      <c r="J96" s="544"/>
      <c r="K96" s="1527">
        <f t="shared" si="14"/>
      </c>
      <c r="L96" s="480"/>
      <c r="N96" s="352"/>
      <c r="O96" s="352"/>
      <c r="P96" s="352"/>
      <c r="Q96" s="352"/>
      <c r="R96" s="352"/>
      <c r="S96" s="352"/>
      <c r="T96" s="352"/>
      <c r="U96" s="352"/>
      <c r="V96" s="352"/>
      <c r="W96" s="352"/>
      <c r="X96" s="352"/>
      <c r="Y96" s="352"/>
      <c r="Z96" s="352"/>
    </row>
    <row r="97" spans="1:26" ht="18.75" customHeight="1">
      <c r="A97" s="489">
        <v>380</v>
      </c>
      <c r="B97" s="292"/>
      <c r="C97" s="295" t="s">
        <v>652</v>
      </c>
      <c r="D97" s="296" t="s">
        <v>653</v>
      </c>
      <c r="E97" s="621"/>
      <c r="F97" s="622">
        <f t="shared" si="17"/>
        <v>0</v>
      </c>
      <c r="G97" s="545"/>
      <c r="H97" s="546"/>
      <c r="I97" s="546"/>
      <c r="J97" s="547"/>
      <c r="K97" s="1527">
        <f t="shared" si="14"/>
      </c>
      <c r="L97" s="480"/>
      <c r="N97" s="352"/>
      <c r="O97" s="352"/>
      <c r="P97" s="352"/>
      <c r="Q97" s="352"/>
      <c r="R97" s="352"/>
      <c r="S97" s="352"/>
      <c r="T97" s="352"/>
      <c r="U97" s="352"/>
      <c r="V97" s="352"/>
      <c r="W97" s="352"/>
      <c r="X97" s="352"/>
      <c r="Y97" s="352"/>
      <c r="Z97" s="352"/>
    </row>
    <row r="98" spans="1:12" ht="18.75" customHeight="1">
      <c r="A98" s="489">
        <v>385</v>
      </c>
      <c r="B98" s="292"/>
      <c r="C98" s="295" t="s">
        <v>654</v>
      </c>
      <c r="D98" s="296" t="s">
        <v>655</v>
      </c>
      <c r="E98" s="621"/>
      <c r="F98" s="622">
        <f t="shared" si="17"/>
        <v>0</v>
      </c>
      <c r="G98" s="545"/>
      <c r="H98" s="546"/>
      <c r="I98" s="546"/>
      <c r="J98" s="547"/>
      <c r="K98" s="1527">
        <f t="shared" si="14"/>
      </c>
      <c r="L98" s="480"/>
    </row>
    <row r="99" spans="1:12" ht="18.75" customHeight="1">
      <c r="A99" s="489">
        <v>390</v>
      </c>
      <c r="B99" s="304"/>
      <c r="C99" s="295">
        <v>2704</v>
      </c>
      <c r="D99" s="296" t="s">
        <v>656</v>
      </c>
      <c r="E99" s="621"/>
      <c r="F99" s="622">
        <f t="shared" si="17"/>
        <v>0</v>
      </c>
      <c r="G99" s="545"/>
      <c r="H99" s="546"/>
      <c r="I99" s="546"/>
      <c r="J99" s="547"/>
      <c r="K99" s="1527">
        <f t="shared" si="14"/>
      </c>
      <c r="L99" s="480"/>
    </row>
    <row r="100" spans="1:12" ht="18.75" customHeight="1">
      <c r="A100" s="489">
        <v>395</v>
      </c>
      <c r="B100" s="292"/>
      <c r="C100" s="295" t="s">
        <v>657</v>
      </c>
      <c r="D100" s="296" t="s">
        <v>658</v>
      </c>
      <c r="E100" s="621"/>
      <c r="F100" s="622">
        <f t="shared" si="17"/>
        <v>0</v>
      </c>
      <c r="G100" s="545"/>
      <c r="H100" s="546"/>
      <c r="I100" s="546"/>
      <c r="J100" s="547"/>
      <c r="K100" s="1527">
        <f t="shared" si="14"/>
      </c>
      <c r="L100" s="480"/>
    </row>
    <row r="101" spans="1:12" ht="18.75" customHeight="1">
      <c r="A101" s="489">
        <v>400</v>
      </c>
      <c r="B101" s="299"/>
      <c r="C101" s="295">
        <v>2706</v>
      </c>
      <c r="D101" s="296" t="s">
        <v>659</v>
      </c>
      <c r="E101" s="621"/>
      <c r="F101" s="622">
        <f t="shared" si="17"/>
        <v>0</v>
      </c>
      <c r="G101" s="545"/>
      <c r="H101" s="546"/>
      <c r="I101" s="546"/>
      <c r="J101" s="547"/>
      <c r="K101" s="1527">
        <f t="shared" si="14"/>
      </c>
      <c r="L101" s="480"/>
    </row>
    <row r="102" spans="1:12" ht="18.75" customHeight="1">
      <c r="A102" s="489">
        <v>405</v>
      </c>
      <c r="B102" s="292"/>
      <c r="C102" s="295" t="s">
        <v>660</v>
      </c>
      <c r="D102" s="296" t="s">
        <v>661</v>
      </c>
      <c r="E102" s="621"/>
      <c r="F102" s="622">
        <f t="shared" si="17"/>
        <v>0</v>
      </c>
      <c r="G102" s="545"/>
      <c r="H102" s="546"/>
      <c r="I102" s="546"/>
      <c r="J102" s="547"/>
      <c r="K102" s="1527">
        <f t="shared" si="14"/>
      </c>
      <c r="L102" s="480"/>
    </row>
    <row r="103" spans="1:12" ht="18.75" customHeight="1">
      <c r="A103" s="489">
        <v>410</v>
      </c>
      <c r="B103" s="299"/>
      <c r="C103" s="295" t="s">
        <v>662</v>
      </c>
      <c r="D103" s="296" t="s">
        <v>2228</v>
      </c>
      <c r="E103" s="621"/>
      <c r="F103" s="622">
        <f t="shared" si="17"/>
        <v>0</v>
      </c>
      <c r="G103" s="545"/>
      <c r="H103" s="546"/>
      <c r="I103" s="546"/>
      <c r="J103" s="547"/>
      <c r="K103" s="1527">
        <f t="shared" si="14"/>
      </c>
      <c r="L103" s="480"/>
    </row>
    <row r="104" spans="1:12" ht="18.75" customHeight="1">
      <c r="A104" s="489">
        <v>420</v>
      </c>
      <c r="B104" s="292"/>
      <c r="C104" s="295" t="s">
        <v>2229</v>
      </c>
      <c r="D104" s="296" t="s">
        <v>2230</v>
      </c>
      <c r="E104" s="621"/>
      <c r="F104" s="622">
        <f t="shared" si="17"/>
        <v>0</v>
      </c>
      <c r="G104" s="545"/>
      <c r="H104" s="546"/>
      <c r="I104" s="546"/>
      <c r="J104" s="547"/>
      <c r="K104" s="1527">
        <f t="shared" si="14"/>
      </c>
      <c r="L104" s="480"/>
    </row>
    <row r="105" spans="1:12" ht="18.75" customHeight="1">
      <c r="A105" s="489">
        <v>425</v>
      </c>
      <c r="B105" s="292"/>
      <c r="C105" s="295" t="s">
        <v>2231</v>
      </c>
      <c r="D105" s="296" t="s">
        <v>2232</v>
      </c>
      <c r="E105" s="621"/>
      <c r="F105" s="622">
        <f t="shared" si="17"/>
        <v>0</v>
      </c>
      <c r="G105" s="545"/>
      <c r="H105" s="546"/>
      <c r="I105" s="546"/>
      <c r="J105" s="547"/>
      <c r="K105" s="1527">
        <f t="shared" si="14"/>
      </c>
      <c r="L105" s="480"/>
    </row>
    <row r="106" spans="1:12" ht="18.75" customHeight="1">
      <c r="A106" s="489">
        <v>430</v>
      </c>
      <c r="B106" s="292"/>
      <c r="C106" s="295" t="s">
        <v>2233</v>
      </c>
      <c r="D106" s="296" t="s">
        <v>2234</v>
      </c>
      <c r="E106" s="621"/>
      <c r="F106" s="622">
        <f t="shared" si="17"/>
        <v>0</v>
      </c>
      <c r="G106" s="545"/>
      <c r="H106" s="546"/>
      <c r="I106" s="546"/>
      <c r="J106" s="547"/>
      <c r="K106" s="1527">
        <f t="shared" si="14"/>
      </c>
      <c r="L106" s="480"/>
    </row>
    <row r="107" spans="1:12" ht="18.75" customHeight="1">
      <c r="A107" s="489">
        <v>436</v>
      </c>
      <c r="B107" s="292"/>
      <c r="C107" s="295" t="s">
        <v>2235</v>
      </c>
      <c r="D107" s="339" t="s">
        <v>2236</v>
      </c>
      <c r="E107" s="621"/>
      <c r="F107" s="622">
        <f t="shared" si="17"/>
        <v>0</v>
      </c>
      <c r="G107" s="545"/>
      <c r="H107" s="546"/>
      <c r="I107" s="546"/>
      <c r="J107" s="547"/>
      <c r="K107" s="1527">
        <f t="shared" si="14"/>
      </c>
      <c r="L107" s="480"/>
    </row>
    <row r="108" spans="1:12" ht="18.75" customHeight="1">
      <c r="A108" s="489">
        <v>440</v>
      </c>
      <c r="B108" s="292"/>
      <c r="C108" s="298" t="s">
        <v>2237</v>
      </c>
      <c r="D108" s="340" t="s">
        <v>2238</v>
      </c>
      <c r="E108" s="625"/>
      <c r="F108" s="626">
        <f t="shared" si="17"/>
        <v>0</v>
      </c>
      <c r="G108" s="554"/>
      <c r="H108" s="555"/>
      <c r="I108" s="555"/>
      <c r="J108" s="556"/>
      <c r="K108" s="1527">
        <f t="shared" si="14"/>
      </c>
      <c r="L108" s="480"/>
    </row>
    <row r="109" spans="1:26" s="352" customFormat="1" ht="18.75" customHeight="1">
      <c r="A109" s="488">
        <v>445</v>
      </c>
      <c r="B109" s="321">
        <v>2800</v>
      </c>
      <c r="C109" s="322" t="s">
        <v>2239</v>
      </c>
      <c r="D109" s="323"/>
      <c r="E109" s="325">
        <f>+E110+E111+E112</f>
        <v>250000</v>
      </c>
      <c r="F109" s="325">
        <f>+F110+F111+F112</f>
        <v>250051</v>
      </c>
      <c r="G109" s="612">
        <f>+G110+G111+G112</f>
        <v>246118</v>
      </c>
      <c r="H109" s="613">
        <f>SUM(H110:H112)</f>
        <v>0</v>
      </c>
      <c r="I109" s="614">
        <f>+I110+I111+I112</f>
        <v>14</v>
      </c>
      <c r="J109" s="615">
        <f>SUM(J110:J112)</f>
        <v>3919</v>
      </c>
      <c r="K109" s="1527">
        <f t="shared" si="14"/>
        <v>1</v>
      </c>
      <c r="L109" s="480"/>
      <c r="M109" s="2017"/>
      <c r="N109" s="350"/>
      <c r="O109" s="350"/>
      <c r="P109" s="350"/>
      <c r="Q109" s="350"/>
      <c r="R109" s="350"/>
      <c r="S109" s="350"/>
      <c r="T109" s="350"/>
      <c r="U109" s="350"/>
      <c r="V109" s="350"/>
      <c r="W109" s="350"/>
      <c r="X109" s="350"/>
      <c r="Y109" s="350"/>
      <c r="Z109" s="350"/>
    </row>
    <row r="110" spans="1:12" ht="32.25" customHeight="1">
      <c r="A110" s="489">
        <v>450</v>
      </c>
      <c r="B110" s="292"/>
      <c r="C110" s="293">
        <v>2801</v>
      </c>
      <c r="D110" s="334" t="s">
        <v>2240</v>
      </c>
      <c r="E110" s="619"/>
      <c r="F110" s="620">
        <f>G110+H110+I110+J110</f>
        <v>0</v>
      </c>
      <c r="G110" s="542"/>
      <c r="H110" s="543"/>
      <c r="I110" s="543"/>
      <c r="J110" s="544"/>
      <c r="K110" s="1527">
        <f t="shared" si="14"/>
      </c>
      <c r="L110" s="480"/>
    </row>
    <row r="111" spans="1:26" ht="18.75" customHeight="1">
      <c r="A111" s="489">
        <v>455</v>
      </c>
      <c r="B111" s="292"/>
      <c r="C111" s="295">
        <v>2802</v>
      </c>
      <c r="D111" s="336" t="s">
        <v>766</v>
      </c>
      <c r="E111" s="621">
        <v>250000</v>
      </c>
      <c r="F111" s="622">
        <f>G111+H111+I111+J111</f>
        <v>250051</v>
      </c>
      <c r="G111" s="545">
        <v>246118</v>
      </c>
      <c r="H111" s="546"/>
      <c r="I111" s="546">
        <v>14</v>
      </c>
      <c r="J111" s="547">
        <v>3919</v>
      </c>
      <c r="K111" s="1527">
        <f t="shared" si="14"/>
        <v>1</v>
      </c>
      <c r="L111" s="480"/>
      <c r="N111" s="352"/>
      <c r="O111" s="352"/>
      <c r="P111" s="352"/>
      <c r="Q111" s="352"/>
      <c r="R111" s="352"/>
      <c r="S111" s="352"/>
      <c r="T111" s="352"/>
      <c r="U111" s="352"/>
      <c r="V111" s="352"/>
      <c r="W111" s="352"/>
      <c r="X111" s="352"/>
      <c r="Y111" s="352"/>
      <c r="Z111" s="352"/>
    </row>
    <row r="112" spans="1:26" ht="18.75" customHeight="1">
      <c r="A112" s="489">
        <v>455</v>
      </c>
      <c r="B112" s="292"/>
      <c r="C112" s="298">
        <v>2809</v>
      </c>
      <c r="D112" s="341" t="s">
        <v>1996</v>
      </c>
      <c r="E112" s="625"/>
      <c r="F112" s="626">
        <f>G112+H112+I112+J112</f>
        <v>0</v>
      </c>
      <c r="G112" s="554"/>
      <c r="H112" s="555"/>
      <c r="I112" s="555"/>
      <c r="J112" s="556"/>
      <c r="K112" s="1527">
        <f t="shared" si="14"/>
      </c>
      <c r="L112" s="480"/>
      <c r="N112" s="352"/>
      <c r="O112" s="352"/>
      <c r="P112" s="352"/>
      <c r="Q112" s="352"/>
      <c r="R112" s="352"/>
      <c r="S112" s="352"/>
      <c r="T112" s="352"/>
      <c r="U112" s="352"/>
      <c r="V112" s="352"/>
      <c r="W112" s="352"/>
      <c r="X112" s="352"/>
      <c r="Y112" s="352"/>
      <c r="Z112" s="352"/>
    </row>
    <row r="113" spans="1:26" s="352" customFormat="1" ht="18.75" customHeight="1">
      <c r="A113" s="488">
        <v>470</v>
      </c>
      <c r="B113" s="321">
        <v>3600</v>
      </c>
      <c r="C113" s="322" t="s">
        <v>1244</v>
      </c>
      <c r="D113" s="323"/>
      <c r="E113" s="325">
        <f aca="true" t="shared" si="18" ref="E113:J113">SUM(E114:E121)</f>
        <v>0</v>
      </c>
      <c r="F113" s="325">
        <f t="shared" si="18"/>
        <v>-45465</v>
      </c>
      <c r="G113" s="612">
        <f t="shared" si="18"/>
        <v>1800</v>
      </c>
      <c r="H113" s="613">
        <f t="shared" si="18"/>
        <v>0</v>
      </c>
      <c r="I113" s="614">
        <f t="shared" si="18"/>
        <v>0</v>
      </c>
      <c r="J113" s="615">
        <f t="shared" si="18"/>
        <v>-47265</v>
      </c>
      <c r="K113" s="1527">
        <f t="shared" si="14"/>
        <v>1</v>
      </c>
      <c r="L113" s="480"/>
      <c r="M113" s="2017"/>
      <c r="N113" s="350"/>
      <c r="O113" s="350"/>
      <c r="P113" s="350"/>
      <c r="Q113" s="350"/>
      <c r="R113" s="350"/>
      <c r="S113" s="350"/>
      <c r="T113" s="350"/>
      <c r="U113" s="350"/>
      <c r="V113" s="350"/>
      <c r="W113" s="350"/>
      <c r="X113" s="350"/>
      <c r="Y113" s="350"/>
      <c r="Z113" s="350"/>
    </row>
    <row r="114" spans="1:12" ht="18.75" customHeight="1">
      <c r="A114" s="489">
        <v>475</v>
      </c>
      <c r="B114" s="292"/>
      <c r="C114" s="293">
        <v>3601</v>
      </c>
      <c r="D114" s="334" t="s">
        <v>768</v>
      </c>
      <c r="E114" s="619"/>
      <c r="F114" s="620">
        <f aca="true" t="shared" si="19" ref="F114:F121">G114+H114+I114+J114</f>
        <v>0</v>
      </c>
      <c r="G114" s="542"/>
      <c r="H114" s="543"/>
      <c r="I114" s="543"/>
      <c r="J114" s="544"/>
      <c r="K114" s="1527">
        <f t="shared" si="14"/>
      </c>
      <c r="L114" s="480"/>
    </row>
    <row r="115" spans="1:26" ht="18.75" customHeight="1">
      <c r="A115" s="489">
        <v>480</v>
      </c>
      <c r="B115" s="292"/>
      <c r="C115" s="295">
        <v>3605</v>
      </c>
      <c r="D115" s="296" t="s">
        <v>142</v>
      </c>
      <c r="E115" s="621"/>
      <c r="F115" s="622">
        <f>G115+H115+I115+J115</f>
        <v>0</v>
      </c>
      <c r="G115" s="545"/>
      <c r="H115" s="546"/>
      <c r="I115" s="546"/>
      <c r="J115" s="547"/>
      <c r="K115" s="1527">
        <f t="shared" si="14"/>
      </c>
      <c r="L115" s="480"/>
      <c r="N115" s="352"/>
      <c r="O115" s="352"/>
      <c r="P115" s="352"/>
      <c r="Q115" s="352"/>
      <c r="R115" s="352"/>
      <c r="S115" s="352"/>
      <c r="T115" s="352"/>
      <c r="U115" s="352"/>
      <c r="V115" s="352"/>
      <c r="W115" s="352"/>
      <c r="X115" s="352"/>
      <c r="Y115" s="352"/>
      <c r="Z115" s="352"/>
    </row>
    <row r="116" spans="1:26" ht="18.75" customHeight="1">
      <c r="A116" s="489">
        <v>480</v>
      </c>
      <c r="B116" s="292"/>
      <c r="C116" s="295">
        <v>3608</v>
      </c>
      <c r="D116" s="296" t="s">
        <v>2159</v>
      </c>
      <c r="E116" s="621"/>
      <c r="F116" s="622">
        <f>G116+H116+I116+J116</f>
        <v>0</v>
      </c>
      <c r="G116" s="545"/>
      <c r="H116" s="546"/>
      <c r="I116" s="546"/>
      <c r="J116" s="547"/>
      <c r="K116" s="1527">
        <f t="shared" si="14"/>
      </c>
      <c r="L116" s="480"/>
      <c r="N116" s="352"/>
      <c r="O116" s="352"/>
      <c r="P116" s="352"/>
      <c r="Q116" s="352"/>
      <c r="R116" s="352"/>
      <c r="S116" s="352"/>
      <c r="T116" s="352"/>
      <c r="U116" s="352"/>
      <c r="V116" s="352"/>
      <c r="W116" s="352"/>
      <c r="X116" s="352"/>
      <c r="Y116" s="352"/>
      <c r="Z116" s="352"/>
    </row>
    <row r="117" spans="1:26" ht="18.75" customHeight="1">
      <c r="A117" s="489">
        <v>480</v>
      </c>
      <c r="B117" s="292"/>
      <c r="C117" s="295">
        <v>3610</v>
      </c>
      <c r="D117" s="296" t="s">
        <v>1233</v>
      </c>
      <c r="E117" s="621"/>
      <c r="F117" s="622">
        <f t="shared" si="19"/>
        <v>0</v>
      </c>
      <c r="G117" s="545"/>
      <c r="H117" s="546"/>
      <c r="I117" s="546"/>
      <c r="J117" s="547"/>
      <c r="K117" s="1527">
        <f t="shared" si="14"/>
      </c>
      <c r="L117" s="480"/>
      <c r="N117" s="352"/>
      <c r="O117" s="352"/>
      <c r="P117" s="352"/>
      <c r="Q117" s="352"/>
      <c r="R117" s="352"/>
      <c r="S117" s="352"/>
      <c r="T117" s="352"/>
      <c r="U117" s="352"/>
      <c r="V117" s="352"/>
      <c r="W117" s="352"/>
      <c r="X117" s="352"/>
      <c r="Y117" s="352"/>
      <c r="Z117" s="352"/>
    </row>
    <row r="118" spans="1:26" ht="18.75" customHeight="1">
      <c r="A118" s="489">
        <v>480</v>
      </c>
      <c r="B118" s="292"/>
      <c r="C118" s="295">
        <v>3611</v>
      </c>
      <c r="D118" s="296" t="s">
        <v>769</v>
      </c>
      <c r="E118" s="621"/>
      <c r="F118" s="622">
        <f t="shared" si="19"/>
        <v>1025</v>
      </c>
      <c r="G118" s="545">
        <v>1025</v>
      </c>
      <c r="H118" s="546"/>
      <c r="I118" s="546"/>
      <c r="J118" s="547"/>
      <c r="K118" s="1527">
        <f t="shared" si="14"/>
        <v>1</v>
      </c>
      <c r="L118" s="480"/>
      <c r="N118" s="352"/>
      <c r="O118" s="352"/>
      <c r="P118" s="352"/>
      <c r="Q118" s="352"/>
      <c r="R118" s="352"/>
      <c r="S118" s="352"/>
      <c r="T118" s="352"/>
      <c r="U118" s="352"/>
      <c r="V118" s="352"/>
      <c r="W118" s="352"/>
      <c r="X118" s="352"/>
      <c r="Y118" s="352"/>
      <c r="Z118" s="352"/>
    </row>
    <row r="119" spans="1:12" ht="18.75" customHeight="1">
      <c r="A119" s="489">
        <v>485</v>
      </c>
      <c r="B119" s="292"/>
      <c r="C119" s="295">
        <v>3612</v>
      </c>
      <c r="D119" s="296" t="s">
        <v>770</v>
      </c>
      <c r="E119" s="621"/>
      <c r="F119" s="622">
        <f t="shared" si="19"/>
        <v>0</v>
      </c>
      <c r="G119" s="545"/>
      <c r="H119" s="546"/>
      <c r="I119" s="546"/>
      <c r="J119" s="547"/>
      <c r="K119" s="1527">
        <f t="shared" si="14"/>
      </c>
      <c r="L119" s="480"/>
    </row>
    <row r="120" spans="1:12" ht="18.75" customHeight="1">
      <c r="A120" s="489"/>
      <c r="B120" s="292"/>
      <c r="C120" s="295">
        <v>3618</v>
      </c>
      <c r="D120" s="296" t="s">
        <v>1441</v>
      </c>
      <c r="E120" s="621"/>
      <c r="F120" s="622">
        <f t="shared" si="19"/>
        <v>-47265</v>
      </c>
      <c r="G120" s="545"/>
      <c r="H120" s="546"/>
      <c r="I120" s="546"/>
      <c r="J120" s="547">
        <v>-47265</v>
      </c>
      <c r="K120" s="1527">
        <f t="shared" si="14"/>
        <v>1</v>
      </c>
      <c r="L120" s="480"/>
    </row>
    <row r="121" spans="1:12" ht="18.75" customHeight="1">
      <c r="A121" s="489">
        <v>490</v>
      </c>
      <c r="B121" s="292"/>
      <c r="C121" s="319">
        <v>3619</v>
      </c>
      <c r="D121" s="340" t="s">
        <v>771</v>
      </c>
      <c r="E121" s="625"/>
      <c r="F121" s="626">
        <f t="shared" si="19"/>
        <v>775</v>
      </c>
      <c r="G121" s="554">
        <v>775</v>
      </c>
      <c r="H121" s="555"/>
      <c r="I121" s="555"/>
      <c r="J121" s="556"/>
      <c r="K121" s="1527">
        <f t="shared" si="14"/>
        <v>1</v>
      </c>
      <c r="L121" s="480"/>
    </row>
    <row r="122" spans="1:26" s="352" customFormat="1" ht="18.75" customHeight="1">
      <c r="A122" s="488">
        <v>495</v>
      </c>
      <c r="B122" s="321">
        <v>3700</v>
      </c>
      <c r="C122" s="322" t="s">
        <v>772</v>
      </c>
      <c r="D122" s="323"/>
      <c r="E122" s="325">
        <f aca="true" t="shared" si="20" ref="E122:J122">SUM(E123:E125)</f>
        <v>0</v>
      </c>
      <c r="F122" s="325">
        <f t="shared" si="20"/>
        <v>0</v>
      </c>
      <c r="G122" s="612">
        <f t="shared" si="20"/>
        <v>0</v>
      </c>
      <c r="H122" s="613">
        <f t="shared" si="20"/>
        <v>0</v>
      </c>
      <c r="I122" s="614">
        <f t="shared" si="20"/>
        <v>0</v>
      </c>
      <c r="J122" s="615">
        <f t="shared" si="20"/>
        <v>0</v>
      </c>
      <c r="K122" s="1527">
        <f t="shared" si="14"/>
      </c>
      <c r="L122" s="480"/>
      <c r="M122" s="2017"/>
      <c r="N122" s="350"/>
      <c r="O122" s="350"/>
      <c r="P122" s="350"/>
      <c r="Q122" s="350"/>
      <c r="R122" s="350"/>
      <c r="S122" s="350"/>
      <c r="T122" s="350"/>
      <c r="U122" s="350"/>
      <c r="V122" s="350"/>
      <c r="W122" s="350"/>
      <c r="X122" s="350"/>
      <c r="Y122" s="350"/>
      <c r="Z122" s="350"/>
    </row>
    <row r="123" spans="1:12" ht="18.75" customHeight="1">
      <c r="A123" s="489">
        <v>500</v>
      </c>
      <c r="B123" s="292"/>
      <c r="C123" s="293">
        <v>3701</v>
      </c>
      <c r="D123" s="294" t="s">
        <v>773</v>
      </c>
      <c r="E123" s="619"/>
      <c r="F123" s="620">
        <f>G123+H123+I123+J123</f>
        <v>0</v>
      </c>
      <c r="G123" s="542"/>
      <c r="H123" s="543"/>
      <c r="I123" s="543"/>
      <c r="J123" s="544"/>
      <c r="K123" s="1527">
        <f t="shared" si="14"/>
      </c>
      <c r="L123" s="480"/>
    </row>
    <row r="124" spans="1:26" ht="18.75" customHeight="1">
      <c r="A124" s="489">
        <v>505</v>
      </c>
      <c r="B124" s="292"/>
      <c r="C124" s="295">
        <v>3702</v>
      </c>
      <c r="D124" s="296" t="s">
        <v>774</v>
      </c>
      <c r="E124" s="621"/>
      <c r="F124" s="622">
        <f>G124+H124+I124+J124</f>
        <v>0</v>
      </c>
      <c r="G124" s="545"/>
      <c r="H124" s="546"/>
      <c r="I124" s="546"/>
      <c r="J124" s="547"/>
      <c r="K124" s="1527">
        <f t="shared" si="14"/>
      </c>
      <c r="L124" s="480"/>
      <c r="N124" s="352"/>
      <c r="O124" s="352"/>
      <c r="P124" s="352"/>
      <c r="Q124" s="352"/>
      <c r="R124" s="352"/>
      <c r="S124" s="352"/>
      <c r="T124" s="352"/>
      <c r="U124" s="352"/>
      <c r="V124" s="352"/>
      <c r="W124" s="352"/>
      <c r="X124" s="352"/>
      <c r="Y124" s="352"/>
      <c r="Z124" s="352"/>
    </row>
    <row r="125" spans="1:12" ht="18.75" customHeight="1">
      <c r="A125" s="489">
        <v>510</v>
      </c>
      <c r="B125" s="292"/>
      <c r="C125" s="298">
        <v>3709</v>
      </c>
      <c r="D125" s="333" t="s">
        <v>775</v>
      </c>
      <c r="E125" s="625"/>
      <c r="F125" s="626">
        <f>G125+H125+I125+J125</f>
        <v>0</v>
      </c>
      <c r="G125" s="554"/>
      <c r="H125" s="555"/>
      <c r="I125" s="555"/>
      <c r="J125" s="556"/>
      <c r="K125" s="1527">
        <f t="shared" si="14"/>
      </c>
      <c r="L125" s="480"/>
    </row>
    <row r="126" spans="1:26" s="353" customFormat="1" ht="18.75" customHeight="1">
      <c r="A126" s="490">
        <v>515</v>
      </c>
      <c r="B126" s="321">
        <v>4000</v>
      </c>
      <c r="C126" s="322" t="s">
        <v>1620</v>
      </c>
      <c r="D126" s="323"/>
      <c r="E126" s="325">
        <f aca="true" t="shared" si="21" ref="E126:J126">SUM(E127:E137)</f>
        <v>0</v>
      </c>
      <c r="F126" s="325">
        <f t="shared" si="21"/>
        <v>0</v>
      </c>
      <c r="G126" s="612">
        <f t="shared" si="21"/>
        <v>0</v>
      </c>
      <c r="H126" s="613">
        <f t="shared" si="21"/>
        <v>0</v>
      </c>
      <c r="I126" s="614">
        <f t="shared" si="21"/>
        <v>0</v>
      </c>
      <c r="J126" s="615">
        <f t="shared" si="21"/>
        <v>0</v>
      </c>
      <c r="K126" s="1527">
        <f t="shared" si="14"/>
      </c>
      <c r="L126" s="480"/>
      <c r="M126" s="2017"/>
      <c r="N126" s="350"/>
      <c r="O126" s="350"/>
      <c r="P126" s="350"/>
      <c r="Q126" s="350"/>
      <c r="R126" s="350"/>
      <c r="S126" s="350"/>
      <c r="T126" s="350"/>
      <c r="U126" s="350"/>
      <c r="V126" s="350"/>
      <c r="W126" s="350"/>
      <c r="X126" s="350"/>
      <c r="Y126" s="350"/>
      <c r="Z126" s="350"/>
    </row>
    <row r="127" spans="1:26" s="354" customFormat="1" ht="18.75" customHeight="1">
      <c r="A127" s="491">
        <v>516</v>
      </c>
      <c r="B127" s="292"/>
      <c r="C127" s="293">
        <v>4021</v>
      </c>
      <c r="D127" s="342" t="s">
        <v>777</v>
      </c>
      <c r="E127" s="619"/>
      <c r="F127" s="620">
        <f aca="true" t="shared" si="22" ref="F127:F139">G127+H127+I127+J127</f>
        <v>0</v>
      </c>
      <c r="G127" s="542"/>
      <c r="H127" s="543"/>
      <c r="I127" s="543"/>
      <c r="J127" s="544"/>
      <c r="K127" s="1527">
        <f t="shared" si="14"/>
      </c>
      <c r="L127" s="480"/>
      <c r="M127" s="2017"/>
      <c r="N127" s="350"/>
      <c r="O127" s="350"/>
      <c r="P127" s="350"/>
      <c r="Q127" s="350"/>
      <c r="R127" s="350"/>
      <c r="S127" s="350"/>
      <c r="T127" s="350"/>
      <c r="U127" s="350"/>
      <c r="V127" s="350"/>
      <c r="W127" s="350"/>
      <c r="X127" s="350"/>
      <c r="Y127" s="350"/>
      <c r="Z127" s="350"/>
    </row>
    <row r="128" spans="1:26" s="354" customFormat="1" ht="18.75" customHeight="1">
      <c r="A128" s="491">
        <v>517</v>
      </c>
      <c r="B128" s="292"/>
      <c r="C128" s="295">
        <v>4022</v>
      </c>
      <c r="D128" s="343" t="s">
        <v>742</v>
      </c>
      <c r="E128" s="621"/>
      <c r="F128" s="622">
        <f t="shared" si="22"/>
        <v>0</v>
      </c>
      <c r="G128" s="545"/>
      <c r="H128" s="546"/>
      <c r="I128" s="546"/>
      <c r="J128" s="547"/>
      <c r="K128" s="1527">
        <f t="shared" si="14"/>
      </c>
      <c r="L128" s="480"/>
      <c r="M128" s="2019"/>
      <c r="N128" s="353"/>
      <c r="O128" s="353"/>
      <c r="P128" s="353"/>
      <c r="Q128" s="353"/>
      <c r="R128" s="353"/>
      <c r="S128" s="353"/>
      <c r="T128" s="353"/>
      <c r="U128" s="353"/>
      <c r="V128" s="353"/>
      <c r="W128" s="353"/>
      <c r="X128" s="353"/>
      <c r="Y128" s="353"/>
      <c r="Z128" s="353"/>
    </row>
    <row r="129" spans="1:13" s="354" customFormat="1" ht="18.75" customHeight="1">
      <c r="A129" s="491">
        <v>518</v>
      </c>
      <c r="B129" s="292"/>
      <c r="C129" s="295">
        <v>4023</v>
      </c>
      <c r="D129" s="343" t="s">
        <v>743</v>
      </c>
      <c r="E129" s="621"/>
      <c r="F129" s="622">
        <f t="shared" si="22"/>
        <v>0</v>
      </c>
      <c r="G129" s="545"/>
      <c r="H129" s="546"/>
      <c r="I129" s="546"/>
      <c r="J129" s="547"/>
      <c r="K129" s="1527">
        <f t="shared" si="14"/>
      </c>
      <c r="L129" s="480"/>
      <c r="M129" s="2019"/>
    </row>
    <row r="130" spans="1:13" s="354" customFormat="1" ht="18.75" customHeight="1">
      <c r="A130" s="491">
        <v>519</v>
      </c>
      <c r="B130" s="292"/>
      <c r="C130" s="295">
        <v>4024</v>
      </c>
      <c r="D130" s="343" t="s">
        <v>744</v>
      </c>
      <c r="E130" s="621"/>
      <c r="F130" s="622">
        <f t="shared" si="22"/>
        <v>0</v>
      </c>
      <c r="G130" s="545"/>
      <c r="H130" s="546"/>
      <c r="I130" s="546"/>
      <c r="J130" s="547"/>
      <c r="K130" s="1527">
        <f t="shared" si="14"/>
      </c>
      <c r="L130" s="480"/>
      <c r="M130" s="2019"/>
    </row>
    <row r="131" spans="1:13" s="354" customFormat="1" ht="18.75" customHeight="1">
      <c r="A131" s="491">
        <v>520</v>
      </c>
      <c r="B131" s="292"/>
      <c r="C131" s="295">
        <v>4025</v>
      </c>
      <c r="D131" s="343" t="s">
        <v>745</v>
      </c>
      <c r="E131" s="621"/>
      <c r="F131" s="622">
        <f t="shared" si="22"/>
        <v>0</v>
      </c>
      <c r="G131" s="545"/>
      <c r="H131" s="546"/>
      <c r="I131" s="546"/>
      <c r="J131" s="547"/>
      <c r="K131" s="1527">
        <f t="shared" si="14"/>
      </c>
      <c r="L131" s="480"/>
      <c r="M131" s="2019"/>
    </row>
    <row r="132" spans="1:13" s="354" customFormat="1" ht="18.75" customHeight="1">
      <c r="A132" s="491">
        <v>521</v>
      </c>
      <c r="B132" s="292"/>
      <c r="C132" s="295">
        <v>4026</v>
      </c>
      <c r="D132" s="343" t="s">
        <v>746</v>
      </c>
      <c r="E132" s="621"/>
      <c r="F132" s="622">
        <f t="shared" si="22"/>
        <v>0</v>
      </c>
      <c r="G132" s="545"/>
      <c r="H132" s="546"/>
      <c r="I132" s="546"/>
      <c r="J132" s="547"/>
      <c r="K132" s="1527">
        <f t="shared" si="14"/>
      </c>
      <c r="L132" s="480"/>
      <c r="M132" s="2019"/>
    </row>
    <row r="133" spans="1:13" s="354" customFormat="1" ht="18.75" customHeight="1">
      <c r="A133" s="491">
        <v>522</v>
      </c>
      <c r="B133" s="292"/>
      <c r="C133" s="295">
        <v>4029</v>
      </c>
      <c r="D133" s="343" t="s">
        <v>747</v>
      </c>
      <c r="E133" s="621"/>
      <c r="F133" s="622">
        <f t="shared" si="22"/>
        <v>0</v>
      </c>
      <c r="G133" s="545"/>
      <c r="H133" s="546"/>
      <c r="I133" s="546"/>
      <c r="J133" s="547"/>
      <c r="K133" s="1527">
        <f t="shared" si="14"/>
      </c>
      <c r="L133" s="480"/>
      <c r="M133" s="2019"/>
    </row>
    <row r="134" spans="1:57" s="358" customFormat="1" ht="18.75" customHeight="1">
      <c r="A134" s="491">
        <v>523</v>
      </c>
      <c r="B134" s="292"/>
      <c r="C134" s="295">
        <v>4030</v>
      </c>
      <c r="D134" s="343" t="s">
        <v>748</v>
      </c>
      <c r="E134" s="621"/>
      <c r="F134" s="622">
        <f t="shared" si="22"/>
        <v>0</v>
      </c>
      <c r="G134" s="545"/>
      <c r="H134" s="546"/>
      <c r="I134" s="546"/>
      <c r="J134" s="547"/>
      <c r="K134" s="1527">
        <f t="shared" si="14"/>
      </c>
      <c r="L134" s="480"/>
      <c r="M134" s="2019"/>
      <c r="N134" s="354"/>
      <c r="O134" s="354"/>
      <c r="P134" s="354"/>
      <c r="Q134" s="354"/>
      <c r="R134" s="354"/>
      <c r="S134" s="354"/>
      <c r="T134" s="354"/>
      <c r="U134" s="354"/>
      <c r="V134" s="354"/>
      <c r="W134" s="354"/>
      <c r="X134" s="354"/>
      <c r="Y134" s="354"/>
      <c r="Z134" s="354"/>
      <c r="AA134" s="355"/>
      <c r="AB134" s="356"/>
      <c r="AC134" s="355"/>
      <c r="AD134" s="355"/>
      <c r="AE134" s="356"/>
      <c r="AF134" s="355"/>
      <c r="AG134" s="355"/>
      <c r="AH134" s="356"/>
      <c r="AI134" s="355"/>
      <c r="AJ134" s="355"/>
      <c r="AK134" s="356"/>
      <c r="AL134" s="355"/>
      <c r="AM134" s="355"/>
      <c r="AN134" s="357"/>
      <c r="AO134" s="355"/>
      <c r="AP134" s="355"/>
      <c r="AQ134" s="356"/>
      <c r="AR134" s="355"/>
      <c r="AS134" s="355"/>
      <c r="AT134" s="356"/>
      <c r="AU134" s="355"/>
      <c r="AV134" s="356"/>
      <c r="AW134" s="357"/>
      <c r="AX134" s="356"/>
      <c r="AY134" s="356"/>
      <c r="AZ134" s="355"/>
      <c r="BA134" s="355"/>
      <c r="BB134" s="356"/>
      <c r="BC134" s="355"/>
      <c r="BE134" s="355"/>
    </row>
    <row r="135" spans="1:57" s="358" customFormat="1" ht="18.75" customHeight="1">
      <c r="A135" s="491">
        <v>523</v>
      </c>
      <c r="B135" s="292"/>
      <c r="C135" s="295">
        <v>4039</v>
      </c>
      <c r="D135" s="343" t="s">
        <v>1997</v>
      </c>
      <c r="E135" s="621"/>
      <c r="F135" s="622">
        <f t="shared" si="22"/>
        <v>0</v>
      </c>
      <c r="G135" s="545"/>
      <c r="H135" s="546"/>
      <c r="I135" s="546"/>
      <c r="J135" s="547"/>
      <c r="K135" s="1527">
        <f t="shared" si="14"/>
      </c>
      <c r="L135" s="480"/>
      <c r="M135" s="2019"/>
      <c r="N135" s="354"/>
      <c r="O135" s="354"/>
      <c r="P135" s="354"/>
      <c r="Q135" s="354"/>
      <c r="R135" s="354"/>
      <c r="S135" s="354"/>
      <c r="T135" s="354"/>
      <c r="U135" s="354"/>
      <c r="V135" s="354"/>
      <c r="W135" s="354"/>
      <c r="X135" s="354"/>
      <c r="Y135" s="354"/>
      <c r="Z135" s="354"/>
      <c r="AA135" s="355"/>
      <c r="AB135" s="356"/>
      <c r="AC135" s="355"/>
      <c r="AD135" s="355"/>
      <c r="AE135" s="356"/>
      <c r="AF135" s="355"/>
      <c r="AG135" s="355"/>
      <c r="AH135" s="356"/>
      <c r="AI135" s="355"/>
      <c r="AJ135" s="355"/>
      <c r="AK135" s="356"/>
      <c r="AL135" s="355"/>
      <c r="AM135" s="355"/>
      <c r="AN135" s="357"/>
      <c r="AO135" s="355"/>
      <c r="AP135" s="355"/>
      <c r="AQ135" s="356"/>
      <c r="AR135" s="355"/>
      <c r="AS135" s="355"/>
      <c r="AT135" s="356"/>
      <c r="AU135" s="355"/>
      <c r="AV135" s="356"/>
      <c r="AW135" s="357"/>
      <c r="AX135" s="356"/>
      <c r="AY135" s="356"/>
      <c r="AZ135" s="355"/>
      <c r="BA135" s="355"/>
      <c r="BB135" s="356"/>
      <c r="BC135" s="355"/>
      <c r="BE135" s="355"/>
    </row>
    <row r="136" spans="1:57" s="358" customFormat="1" ht="18.75" customHeight="1">
      <c r="A136" s="491">
        <v>524</v>
      </c>
      <c r="B136" s="292"/>
      <c r="C136" s="295">
        <v>4040</v>
      </c>
      <c r="D136" s="343" t="s">
        <v>749</v>
      </c>
      <c r="E136" s="621"/>
      <c r="F136" s="622">
        <f t="shared" si="22"/>
        <v>0</v>
      </c>
      <c r="G136" s="545"/>
      <c r="H136" s="546"/>
      <c r="I136" s="546"/>
      <c r="J136" s="547"/>
      <c r="K136" s="1527">
        <f t="shared" si="14"/>
      </c>
      <c r="L136" s="480"/>
      <c r="M136" s="2019"/>
      <c r="N136" s="354"/>
      <c r="O136" s="354"/>
      <c r="P136" s="354"/>
      <c r="Q136" s="354"/>
      <c r="R136" s="354"/>
      <c r="S136" s="354"/>
      <c r="T136" s="354"/>
      <c r="U136" s="354"/>
      <c r="V136" s="354"/>
      <c r="W136" s="354"/>
      <c r="X136" s="354"/>
      <c r="Y136" s="354"/>
      <c r="Z136" s="354"/>
      <c r="AA136" s="355"/>
      <c r="AB136" s="356"/>
      <c r="AC136" s="355"/>
      <c r="AD136" s="355"/>
      <c r="AE136" s="356"/>
      <c r="AF136" s="355"/>
      <c r="AG136" s="355"/>
      <c r="AH136" s="356"/>
      <c r="AI136" s="355"/>
      <c r="AJ136" s="355"/>
      <c r="AK136" s="356"/>
      <c r="AL136" s="355"/>
      <c r="AM136" s="355"/>
      <c r="AN136" s="357"/>
      <c r="AO136" s="355"/>
      <c r="AP136" s="355"/>
      <c r="AQ136" s="356"/>
      <c r="AR136" s="355"/>
      <c r="AS136" s="355"/>
      <c r="AT136" s="356"/>
      <c r="AU136" s="355"/>
      <c r="AV136" s="356"/>
      <c r="AW136" s="357"/>
      <c r="AX136" s="356"/>
      <c r="AY136" s="356"/>
      <c r="AZ136" s="355"/>
      <c r="BA136" s="355"/>
      <c r="BB136" s="356"/>
      <c r="BC136" s="355"/>
      <c r="BE136" s="355"/>
    </row>
    <row r="137" spans="1:57" s="358" customFormat="1" ht="18.75" customHeight="1">
      <c r="A137" s="491">
        <v>526</v>
      </c>
      <c r="B137" s="292"/>
      <c r="C137" s="319">
        <v>4072</v>
      </c>
      <c r="D137" s="344" t="s">
        <v>750</v>
      </c>
      <c r="E137" s="625"/>
      <c r="F137" s="626">
        <f t="shared" si="22"/>
        <v>0</v>
      </c>
      <c r="G137" s="554"/>
      <c r="H137" s="555"/>
      <c r="I137" s="555"/>
      <c r="J137" s="556"/>
      <c r="K137" s="1527">
        <f t="shared" si="14"/>
      </c>
      <c r="L137" s="480"/>
      <c r="M137" s="2020"/>
      <c r="N137" s="355"/>
      <c r="O137" s="355"/>
      <c r="P137" s="355"/>
      <c r="Q137" s="355"/>
      <c r="R137" s="355"/>
      <c r="S137" s="355"/>
      <c r="T137" s="355"/>
      <c r="U137" s="355"/>
      <c r="V137" s="355"/>
      <c r="W137" s="355"/>
      <c r="X137" s="355"/>
      <c r="Y137" s="355"/>
      <c r="Z137" s="355"/>
      <c r="AA137" s="355"/>
      <c r="AB137" s="356"/>
      <c r="AC137" s="355"/>
      <c r="AD137" s="355"/>
      <c r="AE137" s="356"/>
      <c r="AF137" s="355"/>
      <c r="AG137" s="355"/>
      <c r="AH137" s="356"/>
      <c r="AI137" s="355"/>
      <c r="AJ137" s="355"/>
      <c r="AK137" s="356"/>
      <c r="AL137" s="355"/>
      <c r="AM137" s="355"/>
      <c r="AN137" s="357"/>
      <c r="AO137" s="355"/>
      <c r="AP137" s="355"/>
      <c r="AQ137" s="356"/>
      <c r="AR137" s="355"/>
      <c r="AS137" s="355"/>
      <c r="AT137" s="356"/>
      <c r="AU137" s="355"/>
      <c r="AV137" s="356"/>
      <c r="AW137" s="357"/>
      <c r="AX137" s="356"/>
      <c r="AY137" s="356"/>
      <c r="AZ137" s="355"/>
      <c r="BA137" s="355"/>
      <c r="BB137" s="356"/>
      <c r="BC137" s="355"/>
      <c r="BE137" s="355"/>
    </row>
    <row r="138" spans="1:26" s="352" customFormat="1" ht="18.75" customHeight="1">
      <c r="A138" s="488">
        <v>540</v>
      </c>
      <c r="B138" s="321">
        <v>4100</v>
      </c>
      <c r="C138" s="322" t="s">
        <v>751</v>
      </c>
      <c r="D138" s="323"/>
      <c r="E138" s="324"/>
      <c r="F138" s="325">
        <f t="shared" si="22"/>
        <v>0</v>
      </c>
      <c r="G138" s="1335"/>
      <c r="H138" s="1336"/>
      <c r="I138" s="1336"/>
      <c r="J138" s="1337"/>
      <c r="K138" s="1527">
        <f t="shared" si="14"/>
      </c>
      <c r="L138" s="480"/>
      <c r="M138" s="2020"/>
      <c r="N138" s="355"/>
      <c r="O138" s="355"/>
      <c r="P138" s="355"/>
      <c r="Q138" s="355"/>
      <c r="R138" s="355"/>
      <c r="S138" s="355"/>
      <c r="T138" s="355"/>
      <c r="U138" s="355"/>
      <c r="V138" s="355"/>
      <c r="W138" s="355"/>
      <c r="X138" s="355"/>
      <c r="Y138" s="355"/>
      <c r="Z138" s="355"/>
    </row>
    <row r="139" spans="1:26" s="352" customFormat="1" ht="18.75" customHeight="1">
      <c r="A139" s="488">
        <v>550</v>
      </c>
      <c r="B139" s="321">
        <v>4200</v>
      </c>
      <c r="C139" s="322" t="s">
        <v>752</v>
      </c>
      <c r="D139" s="323"/>
      <c r="E139" s="324"/>
      <c r="F139" s="325">
        <f t="shared" si="22"/>
        <v>0</v>
      </c>
      <c r="G139" s="1335"/>
      <c r="H139" s="1336"/>
      <c r="I139" s="1336"/>
      <c r="J139" s="1337"/>
      <c r="K139" s="1527">
        <f t="shared" si="14"/>
      </c>
      <c r="L139" s="480"/>
      <c r="M139" s="2020"/>
      <c r="N139" s="355"/>
      <c r="O139" s="355"/>
      <c r="P139" s="355"/>
      <c r="Q139" s="355"/>
      <c r="R139" s="355"/>
      <c r="S139" s="355"/>
      <c r="T139" s="355"/>
      <c r="U139" s="355"/>
      <c r="V139" s="355"/>
      <c r="W139" s="355"/>
      <c r="X139" s="355"/>
      <c r="Y139" s="355"/>
      <c r="Z139" s="355"/>
    </row>
    <row r="140" spans="1:13" s="352" customFormat="1" ht="18.75" customHeight="1">
      <c r="A140" s="488">
        <v>560</v>
      </c>
      <c r="B140" s="321" t="s">
        <v>753</v>
      </c>
      <c r="C140" s="322" t="s">
        <v>1549</v>
      </c>
      <c r="D140" s="323"/>
      <c r="E140" s="325">
        <f aca="true" t="shared" si="23" ref="E140:J140">SUM(E141:E142)</f>
        <v>0</v>
      </c>
      <c r="F140" s="325">
        <f t="shared" si="23"/>
        <v>0</v>
      </c>
      <c r="G140" s="612">
        <f t="shared" si="23"/>
        <v>0</v>
      </c>
      <c r="H140" s="613">
        <f t="shared" si="23"/>
        <v>0</v>
      </c>
      <c r="I140" s="614">
        <f t="shared" si="23"/>
        <v>0</v>
      </c>
      <c r="J140" s="615">
        <f t="shared" si="23"/>
        <v>0</v>
      </c>
      <c r="K140" s="1527">
        <f t="shared" si="14"/>
      </c>
      <c r="L140" s="480"/>
      <c r="M140" s="2017"/>
    </row>
    <row r="141" spans="1:12" ht="18.75" customHeight="1">
      <c r="A141" s="489">
        <v>565</v>
      </c>
      <c r="B141" s="292"/>
      <c r="C141" s="293">
        <v>4501</v>
      </c>
      <c r="D141" s="345" t="s">
        <v>1550</v>
      </c>
      <c r="E141" s="619"/>
      <c r="F141" s="620">
        <f>G141+H141+I141+J141</f>
        <v>0</v>
      </c>
      <c r="G141" s="542"/>
      <c r="H141" s="543"/>
      <c r="I141" s="543"/>
      <c r="J141" s="544"/>
      <c r="K141" s="1527">
        <f t="shared" si="14"/>
      </c>
      <c r="L141" s="480"/>
    </row>
    <row r="142" spans="1:26" ht="18.75" customHeight="1">
      <c r="A142" s="489">
        <v>570</v>
      </c>
      <c r="B142" s="292"/>
      <c r="C142" s="319">
        <v>4503</v>
      </c>
      <c r="D142" s="346" t="s">
        <v>1551</v>
      </c>
      <c r="E142" s="625"/>
      <c r="F142" s="626">
        <f>G142+H142+I142+J142</f>
        <v>0</v>
      </c>
      <c r="G142" s="554"/>
      <c r="H142" s="555"/>
      <c r="I142" s="555"/>
      <c r="J142" s="556"/>
      <c r="K142" s="1527">
        <f t="shared" si="14"/>
      </c>
      <c r="L142" s="480"/>
      <c r="N142" s="352"/>
      <c r="O142" s="352"/>
      <c r="P142" s="352"/>
      <c r="Q142" s="352"/>
      <c r="R142" s="352"/>
      <c r="S142" s="352"/>
      <c r="T142" s="352"/>
      <c r="U142" s="352"/>
      <c r="V142" s="352"/>
      <c r="W142" s="352"/>
      <c r="X142" s="352"/>
      <c r="Y142" s="352"/>
      <c r="Z142" s="352"/>
    </row>
    <row r="143" spans="1:26" s="352" customFormat="1" ht="18.75" customHeight="1">
      <c r="A143" s="488">
        <v>575</v>
      </c>
      <c r="B143" s="321">
        <v>4600</v>
      </c>
      <c r="C143" s="322" t="s">
        <v>1552</v>
      </c>
      <c r="D143" s="323"/>
      <c r="E143" s="325">
        <f aca="true" t="shared" si="24" ref="E143:J143">SUM(E144:E151)</f>
        <v>0</v>
      </c>
      <c r="F143" s="325">
        <f t="shared" si="24"/>
        <v>0</v>
      </c>
      <c r="G143" s="612">
        <f t="shared" si="24"/>
        <v>0</v>
      </c>
      <c r="H143" s="613">
        <f t="shared" si="24"/>
        <v>0</v>
      </c>
      <c r="I143" s="614">
        <f t="shared" si="24"/>
        <v>0</v>
      </c>
      <c r="J143" s="615">
        <f t="shared" si="24"/>
        <v>0</v>
      </c>
      <c r="K143" s="1527">
        <f t="shared" si="14"/>
      </c>
      <c r="L143" s="480"/>
      <c r="M143" s="2017"/>
      <c r="N143" s="350"/>
      <c r="O143" s="350"/>
      <c r="P143" s="350"/>
      <c r="Q143" s="350"/>
      <c r="R143" s="350"/>
      <c r="S143" s="350"/>
      <c r="T143" s="350"/>
      <c r="U143" s="350"/>
      <c r="V143" s="350"/>
      <c r="W143" s="350"/>
      <c r="X143" s="350"/>
      <c r="Y143" s="350"/>
      <c r="Z143" s="350"/>
    </row>
    <row r="144" spans="1:12" ht="18.75" customHeight="1">
      <c r="A144" s="489">
        <v>580</v>
      </c>
      <c r="B144" s="292"/>
      <c r="C144" s="293">
        <v>4610</v>
      </c>
      <c r="D144" s="347" t="s">
        <v>1253</v>
      </c>
      <c r="E144" s="619"/>
      <c r="F144" s="620">
        <f aca="true" t="shared" si="25" ref="F144:F151">G144+H144+I144+J144</f>
        <v>0</v>
      </c>
      <c r="G144" s="542"/>
      <c r="H144" s="543"/>
      <c r="I144" s="543"/>
      <c r="J144" s="544"/>
      <c r="K144" s="1527">
        <f t="shared" si="14"/>
      </c>
      <c r="L144" s="480"/>
    </row>
    <row r="145" spans="1:26" ht="18.75" customHeight="1">
      <c r="A145" s="489">
        <v>585</v>
      </c>
      <c r="B145" s="292"/>
      <c r="C145" s="295">
        <v>4620</v>
      </c>
      <c r="D145" s="339" t="s">
        <v>1254</v>
      </c>
      <c r="E145" s="621"/>
      <c r="F145" s="622">
        <f t="shared" si="25"/>
        <v>0</v>
      </c>
      <c r="G145" s="545"/>
      <c r="H145" s="546"/>
      <c r="I145" s="546"/>
      <c r="J145" s="547"/>
      <c r="K145" s="1527">
        <f t="shared" si="14"/>
      </c>
      <c r="L145" s="480"/>
      <c r="N145" s="352"/>
      <c r="O145" s="352"/>
      <c r="P145" s="352"/>
      <c r="Q145" s="352"/>
      <c r="R145" s="352"/>
      <c r="S145" s="352"/>
      <c r="T145" s="352"/>
      <c r="U145" s="352"/>
      <c r="V145" s="352"/>
      <c r="W145" s="352"/>
      <c r="X145" s="352"/>
      <c r="Y145" s="352"/>
      <c r="Z145" s="352"/>
    </row>
    <row r="146" spans="1:12" ht="18.75" customHeight="1">
      <c r="A146" s="489">
        <v>590</v>
      </c>
      <c r="B146" s="292"/>
      <c r="C146" s="295">
        <v>4630</v>
      </c>
      <c r="D146" s="339" t="s">
        <v>1255</v>
      </c>
      <c r="E146" s="621"/>
      <c r="F146" s="622">
        <f t="shared" si="25"/>
        <v>0</v>
      </c>
      <c r="G146" s="545"/>
      <c r="H146" s="546"/>
      <c r="I146" s="546"/>
      <c r="J146" s="547"/>
      <c r="K146" s="1527">
        <f t="shared" si="14"/>
      </c>
      <c r="L146" s="480"/>
    </row>
    <row r="147" spans="1:12" ht="18.75" customHeight="1">
      <c r="A147" s="489">
        <v>595</v>
      </c>
      <c r="B147" s="292"/>
      <c r="C147" s="295">
        <v>4640</v>
      </c>
      <c r="D147" s="339" t="s">
        <v>1256</v>
      </c>
      <c r="E147" s="621"/>
      <c r="F147" s="622">
        <f t="shared" si="25"/>
        <v>0</v>
      </c>
      <c r="G147" s="545"/>
      <c r="H147" s="546"/>
      <c r="I147" s="546"/>
      <c r="J147" s="547"/>
      <c r="K147" s="1527">
        <f t="shared" si="14"/>
      </c>
      <c r="L147" s="480"/>
    </row>
    <row r="148" spans="1:12" ht="18.75" customHeight="1">
      <c r="A148" s="489">
        <v>600</v>
      </c>
      <c r="B148" s="292"/>
      <c r="C148" s="295">
        <v>4650</v>
      </c>
      <c r="D148" s="339" t="s">
        <v>1257</v>
      </c>
      <c r="E148" s="621"/>
      <c r="F148" s="622">
        <f t="shared" si="25"/>
        <v>0</v>
      </c>
      <c r="G148" s="545"/>
      <c r="H148" s="546"/>
      <c r="I148" s="546"/>
      <c r="J148" s="547"/>
      <c r="K148" s="1527">
        <f t="shared" si="14"/>
      </c>
      <c r="L148" s="480"/>
    </row>
    <row r="149" spans="1:12" ht="18.75" customHeight="1">
      <c r="A149" s="489">
        <v>605</v>
      </c>
      <c r="B149" s="292"/>
      <c r="C149" s="295">
        <v>4660</v>
      </c>
      <c r="D149" s="339" t="s">
        <v>1258</v>
      </c>
      <c r="E149" s="621"/>
      <c r="F149" s="622">
        <f t="shared" si="25"/>
        <v>0</v>
      </c>
      <c r="G149" s="545"/>
      <c r="H149" s="546"/>
      <c r="I149" s="546"/>
      <c r="J149" s="547"/>
      <c r="K149" s="1527">
        <f t="shared" si="14"/>
      </c>
      <c r="L149" s="480"/>
    </row>
    <row r="150" spans="1:12" ht="18.75" customHeight="1">
      <c r="A150" s="489">
        <v>610</v>
      </c>
      <c r="B150" s="292"/>
      <c r="C150" s="295">
        <v>4670</v>
      </c>
      <c r="D150" s="339" t="s">
        <v>1260</v>
      </c>
      <c r="E150" s="621"/>
      <c r="F150" s="622">
        <f t="shared" si="25"/>
        <v>0</v>
      </c>
      <c r="G150" s="545"/>
      <c r="H150" s="546"/>
      <c r="I150" s="546"/>
      <c r="J150" s="547"/>
      <c r="K150" s="1527">
        <f t="shared" si="14"/>
      </c>
      <c r="L150" s="480"/>
    </row>
    <row r="151" spans="1:12" ht="18.75" customHeight="1">
      <c r="A151" s="489">
        <v>615</v>
      </c>
      <c r="B151" s="292"/>
      <c r="C151" s="319">
        <v>4680</v>
      </c>
      <c r="D151" s="348" t="s">
        <v>1259</v>
      </c>
      <c r="E151" s="625"/>
      <c r="F151" s="626">
        <f t="shared" si="25"/>
        <v>0</v>
      </c>
      <c r="G151" s="554"/>
      <c r="H151" s="555"/>
      <c r="I151" s="555"/>
      <c r="J151" s="556"/>
      <c r="K151" s="1527">
        <f t="shared" si="14"/>
      </c>
      <c r="L151" s="480"/>
    </row>
    <row r="152" spans="1:26" s="352" customFormat="1" ht="18.75" customHeight="1">
      <c r="A152" s="488">
        <v>575</v>
      </c>
      <c r="B152" s="321">
        <v>4700</v>
      </c>
      <c r="C152" s="322" t="s">
        <v>2100</v>
      </c>
      <c r="D152" s="323"/>
      <c r="E152" s="325">
        <f aca="true" t="shared" si="26" ref="E152:J152">SUM(E153:E160)</f>
        <v>0</v>
      </c>
      <c r="F152" s="325">
        <f t="shared" si="26"/>
        <v>0</v>
      </c>
      <c r="G152" s="612">
        <f t="shared" si="26"/>
        <v>0</v>
      </c>
      <c r="H152" s="613">
        <f t="shared" si="26"/>
        <v>0</v>
      </c>
      <c r="I152" s="614">
        <f t="shared" si="26"/>
        <v>0</v>
      </c>
      <c r="J152" s="615">
        <f t="shared" si="26"/>
        <v>0</v>
      </c>
      <c r="K152" s="1527">
        <f t="shared" si="14"/>
      </c>
      <c r="L152" s="480"/>
      <c r="M152" s="2017"/>
      <c r="N152" s="350"/>
      <c r="O152" s="350"/>
      <c r="P152" s="350"/>
      <c r="Q152" s="350"/>
      <c r="R152" s="350"/>
      <c r="S152" s="350"/>
      <c r="T152" s="350"/>
      <c r="U152" s="350"/>
      <c r="V152" s="350"/>
      <c r="W152" s="350"/>
      <c r="X152" s="350"/>
      <c r="Y152" s="350"/>
      <c r="Z152" s="350"/>
    </row>
    <row r="153" spans="1:12" ht="30">
      <c r="A153" s="489">
        <v>580</v>
      </c>
      <c r="B153" s="292"/>
      <c r="C153" s="293">
        <v>4743</v>
      </c>
      <c r="D153" s="347" t="s">
        <v>2101</v>
      </c>
      <c r="E153" s="619"/>
      <c r="F153" s="620">
        <f aca="true" t="shared" si="27" ref="F153:F160">G153+H153+I153+J153</f>
        <v>0</v>
      </c>
      <c r="G153" s="542"/>
      <c r="H153" s="543"/>
      <c r="I153" s="543"/>
      <c r="J153" s="544"/>
      <c r="K153" s="1527">
        <f t="shared" si="14"/>
      </c>
      <c r="L153" s="480"/>
    </row>
    <row r="154" spans="1:26" ht="30">
      <c r="A154" s="489">
        <v>585</v>
      </c>
      <c r="B154" s="292"/>
      <c r="C154" s="295">
        <v>4744</v>
      </c>
      <c r="D154" s="339" t="s">
        <v>2102</v>
      </c>
      <c r="E154" s="621"/>
      <c r="F154" s="622">
        <f t="shared" si="27"/>
        <v>0</v>
      </c>
      <c r="G154" s="545"/>
      <c r="H154" s="546"/>
      <c r="I154" s="546"/>
      <c r="J154" s="547"/>
      <c r="K154" s="1527">
        <f t="shared" si="14"/>
      </c>
      <c r="L154" s="480"/>
      <c r="N154" s="352"/>
      <c r="O154" s="352"/>
      <c r="P154" s="352"/>
      <c r="Q154" s="352"/>
      <c r="R154" s="352"/>
      <c r="S154" s="352"/>
      <c r="T154" s="352"/>
      <c r="U154" s="352"/>
      <c r="V154" s="352"/>
      <c r="W154" s="352"/>
      <c r="X154" s="352"/>
      <c r="Y154" s="352"/>
      <c r="Z154" s="352"/>
    </row>
    <row r="155" spans="1:12" ht="30">
      <c r="A155" s="489">
        <v>590</v>
      </c>
      <c r="B155" s="292"/>
      <c r="C155" s="295">
        <v>4745</v>
      </c>
      <c r="D155" s="339" t="s">
        <v>2103</v>
      </c>
      <c r="E155" s="621"/>
      <c r="F155" s="622">
        <f t="shared" si="27"/>
        <v>0</v>
      </c>
      <c r="G155" s="545"/>
      <c r="H155" s="546"/>
      <c r="I155" s="546"/>
      <c r="J155" s="547"/>
      <c r="K155" s="1527">
        <f t="shared" si="14"/>
      </c>
      <c r="L155" s="480"/>
    </row>
    <row r="156" spans="1:12" ht="30">
      <c r="A156" s="489">
        <v>595</v>
      </c>
      <c r="B156" s="292"/>
      <c r="C156" s="295">
        <v>4749</v>
      </c>
      <c r="D156" s="339" t="s">
        <v>2104</v>
      </c>
      <c r="E156" s="621"/>
      <c r="F156" s="622">
        <f t="shared" si="27"/>
        <v>0</v>
      </c>
      <c r="G156" s="545"/>
      <c r="H156" s="546"/>
      <c r="I156" s="546"/>
      <c r="J156" s="547"/>
      <c r="K156" s="1527">
        <f aca="true" t="shared" si="28" ref="K156:K169">(IF($E156&lt;&gt;0,$K$2,IF($F156&lt;&gt;0,$K$2,IF($G156&lt;&gt;0,$K$2,IF($H156&lt;&gt;0,$K$2,IF($I156&lt;&gt;0,$K$2,IF($J156&lt;&gt;0,$K$2,"")))))))</f>
      </c>
      <c r="L156" s="480"/>
    </row>
    <row r="157" spans="1:12" ht="30">
      <c r="A157" s="489">
        <v>600</v>
      </c>
      <c r="B157" s="292"/>
      <c r="C157" s="295">
        <v>4751</v>
      </c>
      <c r="D157" s="339" t="s">
        <v>2105</v>
      </c>
      <c r="E157" s="621"/>
      <c r="F157" s="622">
        <f t="shared" si="27"/>
        <v>0</v>
      </c>
      <c r="G157" s="545"/>
      <c r="H157" s="546"/>
      <c r="I157" s="546"/>
      <c r="J157" s="547"/>
      <c r="K157" s="1527">
        <f t="shared" si="28"/>
      </c>
      <c r="L157" s="480"/>
    </row>
    <row r="158" spans="1:12" ht="30">
      <c r="A158" s="489">
        <v>605</v>
      </c>
      <c r="B158" s="292"/>
      <c r="C158" s="295">
        <v>4752</v>
      </c>
      <c r="D158" s="339" t="s">
        <v>2106</v>
      </c>
      <c r="E158" s="621"/>
      <c r="F158" s="622">
        <f t="shared" si="27"/>
        <v>0</v>
      </c>
      <c r="G158" s="545"/>
      <c r="H158" s="546"/>
      <c r="I158" s="546"/>
      <c r="J158" s="547"/>
      <c r="K158" s="1527">
        <f t="shared" si="28"/>
      </c>
      <c r="L158" s="480"/>
    </row>
    <row r="159" spans="1:12" ht="30">
      <c r="A159" s="489">
        <v>610</v>
      </c>
      <c r="B159" s="292"/>
      <c r="C159" s="295">
        <v>4753</v>
      </c>
      <c r="D159" s="339" t="s">
        <v>2107</v>
      </c>
      <c r="E159" s="621"/>
      <c r="F159" s="622">
        <f t="shared" si="27"/>
        <v>0</v>
      </c>
      <c r="G159" s="545"/>
      <c r="H159" s="546"/>
      <c r="I159" s="546"/>
      <c r="J159" s="547"/>
      <c r="K159" s="1527">
        <f t="shared" si="28"/>
      </c>
      <c r="L159" s="480"/>
    </row>
    <row r="160" spans="1:12" ht="30">
      <c r="A160" s="489">
        <v>615</v>
      </c>
      <c r="B160" s="292"/>
      <c r="C160" s="319">
        <v>4759</v>
      </c>
      <c r="D160" s="348" t="s">
        <v>2108</v>
      </c>
      <c r="E160" s="625"/>
      <c r="F160" s="626">
        <f t="shared" si="27"/>
        <v>0</v>
      </c>
      <c r="G160" s="554"/>
      <c r="H160" s="555"/>
      <c r="I160" s="555"/>
      <c r="J160" s="556"/>
      <c r="K160" s="1527">
        <f t="shared" si="28"/>
      </c>
      <c r="L160" s="480"/>
    </row>
    <row r="161" spans="1:26" s="352" customFormat="1" ht="18.75" customHeight="1">
      <c r="A161" s="488">
        <v>575</v>
      </c>
      <c r="B161" s="321">
        <v>4800</v>
      </c>
      <c r="C161" s="322" t="s">
        <v>1998</v>
      </c>
      <c r="D161" s="323"/>
      <c r="E161" s="325">
        <f aca="true" t="shared" si="29" ref="E161:J161">SUM(E162:E169)</f>
        <v>0</v>
      </c>
      <c r="F161" s="325">
        <f t="shared" si="29"/>
        <v>0</v>
      </c>
      <c r="G161" s="612">
        <f t="shared" si="29"/>
        <v>0</v>
      </c>
      <c r="H161" s="613">
        <f t="shared" si="29"/>
        <v>0</v>
      </c>
      <c r="I161" s="614">
        <f t="shared" si="29"/>
        <v>0</v>
      </c>
      <c r="J161" s="615">
        <f t="shared" si="29"/>
        <v>0</v>
      </c>
      <c r="K161" s="1527">
        <f t="shared" si="28"/>
      </c>
      <c r="L161" s="480"/>
      <c r="M161" s="2017"/>
      <c r="N161" s="350"/>
      <c r="O161" s="350"/>
      <c r="P161" s="350"/>
      <c r="Q161" s="350"/>
      <c r="R161" s="350"/>
      <c r="S161" s="350"/>
      <c r="T161" s="350"/>
      <c r="U161" s="350"/>
      <c r="V161" s="350"/>
      <c r="W161" s="350"/>
      <c r="X161" s="350"/>
      <c r="Y161" s="350"/>
      <c r="Z161" s="350"/>
    </row>
    <row r="162" spans="1:12" ht="18.75" customHeight="1">
      <c r="A162" s="489">
        <v>580</v>
      </c>
      <c r="B162" s="292"/>
      <c r="C162" s="293">
        <v>4810</v>
      </c>
      <c r="D162" s="347" t="s">
        <v>1999</v>
      </c>
      <c r="E162" s="619"/>
      <c r="F162" s="620">
        <f aca="true" t="shared" si="30" ref="F162:F169">G162+H162+I162+J162</f>
        <v>0</v>
      </c>
      <c r="G162" s="542"/>
      <c r="H162" s="543"/>
      <c r="I162" s="543"/>
      <c r="J162" s="544"/>
      <c r="K162" s="1527">
        <f t="shared" si="28"/>
      </c>
      <c r="L162" s="480"/>
    </row>
    <row r="163" spans="1:26" ht="18.75" customHeight="1">
      <c r="A163" s="489">
        <v>585</v>
      </c>
      <c r="B163" s="292"/>
      <c r="C163" s="295">
        <v>4820</v>
      </c>
      <c r="D163" s="339" t="s">
        <v>1411</v>
      </c>
      <c r="E163" s="621"/>
      <c r="F163" s="622">
        <f t="shared" si="30"/>
        <v>0</v>
      </c>
      <c r="G163" s="545"/>
      <c r="H163" s="546"/>
      <c r="I163" s="546"/>
      <c r="J163" s="547"/>
      <c r="K163" s="1527">
        <f t="shared" si="28"/>
      </c>
      <c r="L163" s="480"/>
      <c r="N163" s="352"/>
      <c r="O163" s="352"/>
      <c r="P163" s="352"/>
      <c r="Q163" s="352"/>
      <c r="R163" s="352"/>
      <c r="S163" s="352"/>
      <c r="T163" s="352"/>
      <c r="U163" s="352"/>
      <c r="V163" s="352"/>
      <c r="W163" s="352"/>
      <c r="X163" s="352"/>
      <c r="Y163" s="352"/>
      <c r="Z163" s="352"/>
    </row>
    <row r="164" spans="1:12" ht="18.75" customHeight="1">
      <c r="A164" s="489">
        <v>590</v>
      </c>
      <c r="B164" s="292"/>
      <c r="C164" s="295">
        <v>4830</v>
      </c>
      <c r="D164" s="339" t="s">
        <v>2000</v>
      </c>
      <c r="E164" s="621"/>
      <c r="F164" s="622">
        <f t="shared" si="30"/>
        <v>0</v>
      </c>
      <c r="G164" s="545"/>
      <c r="H164" s="546"/>
      <c r="I164" s="546"/>
      <c r="J164" s="547"/>
      <c r="K164" s="1527">
        <f t="shared" si="28"/>
      </c>
      <c r="L164" s="480"/>
    </row>
    <row r="165" spans="1:12" ht="18.75" customHeight="1">
      <c r="A165" s="489">
        <v>595</v>
      </c>
      <c r="B165" s="292"/>
      <c r="C165" s="295">
        <v>4840</v>
      </c>
      <c r="D165" s="339" t="s">
        <v>2001</v>
      </c>
      <c r="E165" s="621"/>
      <c r="F165" s="622">
        <f t="shared" si="30"/>
        <v>0</v>
      </c>
      <c r="G165" s="545"/>
      <c r="H165" s="546"/>
      <c r="I165" s="546"/>
      <c r="J165" s="547"/>
      <c r="K165" s="1527">
        <f t="shared" si="28"/>
      </c>
      <c r="L165" s="480"/>
    </row>
    <row r="166" spans="1:12" ht="30">
      <c r="A166" s="489">
        <v>600</v>
      </c>
      <c r="B166" s="292"/>
      <c r="C166" s="295">
        <v>4850</v>
      </c>
      <c r="D166" s="339" t="s">
        <v>2002</v>
      </c>
      <c r="E166" s="621"/>
      <c r="F166" s="622">
        <f t="shared" si="30"/>
        <v>0</v>
      </c>
      <c r="G166" s="545"/>
      <c r="H166" s="546"/>
      <c r="I166" s="546"/>
      <c r="J166" s="547"/>
      <c r="K166" s="1527">
        <f t="shared" si="28"/>
      </c>
      <c r="L166" s="480"/>
    </row>
    <row r="167" spans="1:12" ht="30">
      <c r="A167" s="489">
        <v>605</v>
      </c>
      <c r="B167" s="292"/>
      <c r="C167" s="295">
        <v>4860</v>
      </c>
      <c r="D167" s="339" t="s">
        <v>2003</v>
      </c>
      <c r="E167" s="621"/>
      <c r="F167" s="622">
        <f t="shared" si="30"/>
        <v>0</v>
      </c>
      <c r="G167" s="545"/>
      <c r="H167" s="546"/>
      <c r="I167" s="546"/>
      <c r="J167" s="547"/>
      <c r="K167" s="1527">
        <f t="shared" si="28"/>
      </c>
      <c r="L167" s="480"/>
    </row>
    <row r="168" spans="1:12" ht="30">
      <c r="A168" s="489">
        <v>610</v>
      </c>
      <c r="B168" s="292"/>
      <c r="C168" s="295">
        <v>4870</v>
      </c>
      <c r="D168" s="339" t="s">
        <v>2004</v>
      </c>
      <c r="E168" s="621"/>
      <c r="F168" s="622">
        <f t="shared" si="30"/>
        <v>0</v>
      </c>
      <c r="G168" s="545"/>
      <c r="H168" s="546"/>
      <c r="I168" s="546"/>
      <c r="J168" s="547"/>
      <c r="K168" s="1527">
        <f t="shared" si="28"/>
      </c>
      <c r="L168" s="480"/>
    </row>
    <row r="169" spans="1:12" ht="30">
      <c r="A169" s="489">
        <v>615</v>
      </c>
      <c r="B169" s="413"/>
      <c r="C169" s="298">
        <v>4880</v>
      </c>
      <c r="D169" s="348" t="s">
        <v>2005</v>
      </c>
      <c r="E169" s="625"/>
      <c r="F169" s="626">
        <f t="shared" si="30"/>
        <v>0</v>
      </c>
      <c r="G169" s="554"/>
      <c r="H169" s="555"/>
      <c r="I169" s="555"/>
      <c r="J169" s="556"/>
      <c r="K169" s="1527">
        <f t="shared" si="28"/>
      </c>
      <c r="L169" s="480"/>
    </row>
    <row r="170" spans="1:26" s="359" customFormat="1" ht="20.25" customHeight="1" thickBot="1">
      <c r="A170" s="492">
        <v>620</v>
      </c>
      <c r="B170" s="1367" t="s">
        <v>1267</v>
      </c>
      <c r="C170" s="1368" t="s">
        <v>754</v>
      </c>
      <c r="D170" s="1369" t="s">
        <v>1266</v>
      </c>
      <c r="E170" s="412">
        <f aca="true" t="shared" si="31" ref="E170:J170">SUM(E22,E28,E33,E39,E47,E52,E58,E61,E64,E65,E72,E73,E74,E75,E91,E94,E95,E109,E113,E122,E126,E138,E139,E140,E143,E152,E161)</f>
        <v>63200000</v>
      </c>
      <c r="F170" s="412">
        <f t="shared" si="31"/>
        <v>43990366</v>
      </c>
      <c r="G170" s="616">
        <f t="shared" si="31"/>
        <v>43947632</v>
      </c>
      <c r="H170" s="617">
        <f t="shared" si="31"/>
        <v>0</v>
      </c>
      <c r="I170" s="617">
        <f t="shared" si="31"/>
        <v>4806</v>
      </c>
      <c r="J170" s="618">
        <f t="shared" si="31"/>
        <v>37928</v>
      </c>
      <c r="K170" s="4">
        <v>1</v>
      </c>
      <c r="L170" s="480"/>
      <c r="M170" s="2018"/>
      <c r="N170" s="351"/>
      <c r="O170" s="351"/>
      <c r="P170" s="351"/>
      <c r="Q170" s="351"/>
      <c r="R170" s="351"/>
      <c r="S170" s="351"/>
      <c r="T170" s="351"/>
      <c r="U170" s="351"/>
      <c r="V170" s="351"/>
      <c r="W170" s="351"/>
      <c r="X170" s="351"/>
      <c r="Y170" s="351"/>
      <c r="Z170" s="351"/>
    </row>
    <row r="171" spans="1:26" s="360" customFormat="1" ht="9" customHeight="1" thickTop="1">
      <c r="A171" s="305"/>
      <c r="B171" s="1272"/>
      <c r="C171" s="1370"/>
      <c r="D171" s="1371"/>
      <c r="E171" s="642"/>
      <c r="F171" s="642"/>
      <c r="G171" s="385"/>
      <c r="H171" s="385"/>
      <c r="I171" s="385"/>
      <c r="J171" s="385"/>
      <c r="K171" s="4">
        <v>1</v>
      </c>
      <c r="L171" s="457"/>
      <c r="M171" s="2017"/>
      <c r="N171" s="350"/>
      <c r="O171" s="350"/>
      <c r="P171" s="350"/>
      <c r="Q171" s="350"/>
      <c r="R171" s="350"/>
      <c r="S171" s="350"/>
      <c r="T171" s="350"/>
      <c r="U171" s="350"/>
      <c r="V171" s="350"/>
      <c r="W171" s="350"/>
      <c r="X171" s="350"/>
      <c r="Y171" s="350"/>
      <c r="Z171" s="350"/>
    </row>
    <row r="172" spans="1:13" s="360" customFormat="1" ht="7.5" customHeight="1">
      <c r="A172" s="305"/>
      <c r="B172" s="1272"/>
      <c r="C172" s="1370"/>
      <c r="D172" s="1371"/>
      <c r="E172" s="642"/>
      <c r="F172" s="642"/>
      <c r="G172" s="385"/>
      <c r="H172" s="385"/>
      <c r="I172" s="385"/>
      <c r="J172" s="385"/>
      <c r="K172" s="4">
        <v>1</v>
      </c>
      <c r="L172" s="457"/>
      <c r="M172" s="2021"/>
    </row>
    <row r="173" spans="1:13" s="360" customFormat="1" ht="15.75">
      <c r="A173" s="305"/>
      <c r="B173" s="1372"/>
      <c r="C173" s="1372"/>
      <c r="D173" s="1373"/>
      <c r="E173" s="1374"/>
      <c r="F173" s="1374"/>
      <c r="G173" s="1375"/>
      <c r="H173" s="1375"/>
      <c r="I173" s="1375"/>
      <c r="J173" s="1375"/>
      <c r="K173" s="4">
        <v>1</v>
      </c>
      <c r="L173" s="457"/>
      <c r="M173" s="2021"/>
    </row>
    <row r="174" spans="1:13" s="360" customFormat="1" ht="15.75">
      <c r="A174" s="305"/>
      <c r="B174" s="774"/>
      <c r="C174" s="1121"/>
      <c r="D174" s="1147"/>
      <c r="E174" s="1159"/>
      <c r="F174" s="1159"/>
      <c r="G174" s="775"/>
      <c r="H174" s="775"/>
      <c r="I174" s="775"/>
      <c r="J174" s="775"/>
      <c r="K174" s="4">
        <v>1</v>
      </c>
      <c r="L174" s="1359"/>
      <c r="M174" s="2021"/>
    </row>
    <row r="175" spans="1:13" s="360" customFormat="1" ht="20.25" customHeight="1">
      <c r="A175" s="305"/>
      <c r="B175" s="2208" t="str">
        <f>$B$7</f>
        <v>ОТЧЕТНИ ДАННИ ПО ЕБК ЗА ИЗПЪЛНЕНИЕТО НА БЮДЖЕТА</v>
      </c>
      <c r="C175" s="2209"/>
      <c r="D175" s="2209"/>
      <c r="E175" s="1159"/>
      <c r="F175" s="1159"/>
      <c r="G175" s="775"/>
      <c r="H175" s="775"/>
      <c r="I175" s="775"/>
      <c r="J175" s="1146"/>
      <c r="K175" s="4">
        <v>1</v>
      </c>
      <c r="L175" s="1359"/>
      <c r="M175" s="2021"/>
    </row>
    <row r="176" spans="1:13" s="360" customFormat="1" ht="18.75" customHeight="1">
      <c r="A176" s="305"/>
      <c r="B176" s="774"/>
      <c r="C176" s="1121"/>
      <c r="D176" s="1147"/>
      <c r="E176" s="1148" t="s">
        <v>1604</v>
      </c>
      <c r="F176" s="1148" t="s">
        <v>889</v>
      </c>
      <c r="G176" s="775"/>
      <c r="H176" s="775"/>
      <c r="I176" s="775"/>
      <c r="J176" s="775"/>
      <c r="K176" s="4">
        <v>1</v>
      </c>
      <c r="L176" s="1359"/>
      <c r="M176" s="2021"/>
    </row>
    <row r="177" spans="1:13" s="360" customFormat="1" ht="27" customHeight="1">
      <c r="A177" s="305"/>
      <c r="B177" s="2210" t="str">
        <f>$B$9</f>
        <v>КОМИСИЯ ЗА РЕГУЛИРАНЕ НА СЪОБЩЕНИЯТА</v>
      </c>
      <c r="C177" s="2211"/>
      <c r="D177" s="2212"/>
      <c r="E177" s="1066">
        <f>$E$9</f>
        <v>43101</v>
      </c>
      <c r="F177" s="1152">
        <f>$F$9</f>
        <v>43190</v>
      </c>
      <c r="G177" s="775"/>
      <c r="H177" s="775"/>
      <c r="I177" s="775"/>
      <c r="J177" s="775"/>
      <c r="K177" s="4">
        <v>1</v>
      </c>
      <c r="L177" s="1359"/>
      <c r="M177" s="2021"/>
    </row>
    <row r="178" spans="1:13" s="360" customFormat="1" ht="15">
      <c r="A178" s="305"/>
      <c r="B178" s="1153" t="str">
        <f>$B$10</f>
        <v>                                                            (наименование на разпоредителя с бюджет)</v>
      </c>
      <c r="C178" s="774"/>
      <c r="D178" s="1124"/>
      <c r="E178" s="1154"/>
      <c r="F178" s="1154"/>
      <c r="G178" s="775"/>
      <c r="H178" s="775"/>
      <c r="I178" s="775"/>
      <c r="J178" s="775"/>
      <c r="K178" s="4">
        <v>1</v>
      </c>
      <c r="L178" s="1359"/>
      <c r="M178" s="2021"/>
    </row>
    <row r="179" spans="1:13" s="360" customFormat="1" ht="5.25" customHeight="1">
      <c r="A179" s="305"/>
      <c r="B179" s="1153"/>
      <c r="C179" s="774"/>
      <c r="D179" s="1124"/>
      <c r="E179" s="1153"/>
      <c r="F179" s="774"/>
      <c r="G179" s="775"/>
      <c r="H179" s="775"/>
      <c r="I179" s="775"/>
      <c r="J179" s="775"/>
      <c r="K179" s="4">
        <v>1</v>
      </c>
      <c r="L179" s="1359"/>
      <c r="M179" s="2021"/>
    </row>
    <row r="180" spans="1:13" s="360" customFormat="1" ht="27" customHeight="1">
      <c r="A180" s="5"/>
      <c r="B180" s="2237" t="str">
        <f>$B$12</f>
        <v>Комисия за регулиране на съобщенията</v>
      </c>
      <c r="C180" s="2238"/>
      <c r="D180" s="2239"/>
      <c r="E180" s="1155" t="s">
        <v>1249</v>
      </c>
      <c r="F180" s="1902" t="str">
        <f>$F$12</f>
        <v>4300</v>
      </c>
      <c r="G180" s="775"/>
      <c r="H180" s="775"/>
      <c r="I180" s="775"/>
      <c r="J180" s="775"/>
      <c r="K180" s="4">
        <v>1</v>
      </c>
      <c r="L180" s="1359"/>
      <c r="M180" s="2021"/>
    </row>
    <row r="181" spans="1:13" s="360" customFormat="1" ht="15.75">
      <c r="A181" s="305"/>
      <c r="B181" s="1157" t="str">
        <f>$B$13</f>
        <v>                                             (наименование на първостепенния разпоредител с бюджет)</v>
      </c>
      <c r="C181" s="774"/>
      <c r="D181" s="1124"/>
      <c r="E181" s="1363"/>
      <c r="F181" s="1364"/>
      <c r="G181" s="1154"/>
      <c r="H181" s="775"/>
      <c r="I181" s="775"/>
      <c r="J181" s="775"/>
      <c r="K181" s="4">
        <v>1</v>
      </c>
      <c r="L181" s="1359"/>
      <c r="M181" s="2021"/>
    </row>
    <row r="182" spans="1:13" s="360" customFormat="1" ht="21.75" customHeight="1">
      <c r="A182" s="5"/>
      <c r="B182" s="1160"/>
      <c r="C182" s="775"/>
      <c r="D182" s="1161" t="s">
        <v>1424</v>
      </c>
      <c r="E182" s="1162">
        <f>$E$15</f>
        <v>0</v>
      </c>
      <c r="F182" s="1495" t="str">
        <f>$F$15</f>
        <v>БЮДЖЕТ</v>
      </c>
      <c r="G182" s="1154"/>
      <c r="H182" s="1163"/>
      <c r="I182" s="775"/>
      <c r="J182" s="1163"/>
      <c r="K182" s="4">
        <v>1</v>
      </c>
      <c r="L182" s="1359"/>
      <c r="M182" s="2021"/>
    </row>
    <row r="183" spans="1:13" s="360" customFormat="1" ht="16.5" thickBot="1">
      <c r="A183" s="305"/>
      <c r="B183" s="1365"/>
      <c r="C183" s="1365"/>
      <c r="D183" s="1366"/>
      <c r="E183" s="1159"/>
      <c r="F183" s="1164"/>
      <c r="G183" s="1165"/>
      <c r="H183" s="1165"/>
      <c r="I183" s="1165"/>
      <c r="J183" s="1166" t="s">
        <v>986</v>
      </c>
      <c r="K183" s="4">
        <v>1</v>
      </c>
      <c r="L183" s="1359"/>
      <c r="M183" s="2021"/>
    </row>
    <row r="184" spans="1:13" s="415" customFormat="1" ht="21.75" customHeight="1">
      <c r="A184" s="414"/>
      <c r="B184" s="1376"/>
      <c r="C184" s="1377"/>
      <c r="D184" s="1378" t="s">
        <v>756</v>
      </c>
      <c r="E184" s="1170" t="s">
        <v>988</v>
      </c>
      <c r="F184" s="475" t="s">
        <v>1264</v>
      </c>
      <c r="G184" s="1171"/>
      <c r="H184" s="1172"/>
      <c r="I184" s="1171"/>
      <c r="J184" s="1173"/>
      <c r="K184" s="4">
        <v>1</v>
      </c>
      <c r="L184" s="1360"/>
      <c r="M184" s="2021"/>
    </row>
    <row r="185" spans="1:13" s="360" customFormat="1" ht="48" thickBot="1">
      <c r="A185" s="5"/>
      <c r="B185" s="1174" t="s">
        <v>937</v>
      </c>
      <c r="C185" s="1175" t="s">
        <v>990</v>
      </c>
      <c r="D185" s="1379" t="s">
        <v>588</v>
      </c>
      <c r="E185" s="1177">
        <f>$C$3</f>
        <v>2018</v>
      </c>
      <c r="F185" s="476" t="s">
        <v>1262</v>
      </c>
      <c r="G185" s="1178" t="s">
        <v>1261</v>
      </c>
      <c r="H185" s="1179" t="s">
        <v>1352</v>
      </c>
      <c r="I185" s="1180" t="s">
        <v>1250</v>
      </c>
      <c r="J185" s="1181" t="s">
        <v>1251</v>
      </c>
      <c r="K185" s="4">
        <v>1</v>
      </c>
      <c r="L185" s="1359"/>
      <c r="M185" s="2021"/>
    </row>
    <row r="186" spans="1:13" s="360" customFormat="1" ht="18">
      <c r="A186" s="5"/>
      <c r="B186" s="1182"/>
      <c r="C186" s="1380"/>
      <c r="D186" s="1381" t="s">
        <v>757</v>
      </c>
      <c r="E186" s="456" t="s">
        <v>604</v>
      </c>
      <c r="F186" s="456" t="s">
        <v>605</v>
      </c>
      <c r="G186" s="458" t="s">
        <v>1365</v>
      </c>
      <c r="H186" s="459" t="s">
        <v>1366</v>
      </c>
      <c r="I186" s="459" t="s">
        <v>1339</v>
      </c>
      <c r="J186" s="460" t="s">
        <v>1232</v>
      </c>
      <c r="K186" s="4">
        <v>1</v>
      </c>
      <c r="L186" s="1359"/>
      <c r="M186" s="2021"/>
    </row>
    <row r="187" spans="1:13" s="360" customFormat="1" ht="15" customHeight="1">
      <c r="A187" s="5"/>
      <c r="B187" s="1382"/>
      <c r="C187" s="1383"/>
      <c r="D187" s="1384"/>
      <c r="E187" s="627"/>
      <c r="F187" s="627"/>
      <c r="G187" s="383"/>
      <c r="H187" s="383"/>
      <c r="I187" s="383"/>
      <c r="J187" s="384"/>
      <c r="K187" s="4">
        <v>1</v>
      </c>
      <c r="L187" s="1359"/>
      <c r="M187" s="2021"/>
    </row>
    <row r="188" spans="1:26" s="352" customFormat="1" ht="18" customHeight="1">
      <c r="A188" s="8">
        <v>5</v>
      </c>
      <c r="B188" s="1194">
        <v>100</v>
      </c>
      <c r="C188" s="2229" t="s">
        <v>758</v>
      </c>
      <c r="D188" s="2223"/>
      <c r="E188" s="461">
        <f aca="true" t="shared" si="32" ref="E188:J188">SUMIF($B$609:$B$12278,$B188,E$609:E$12278)</f>
        <v>4465000</v>
      </c>
      <c r="F188" s="462">
        <f t="shared" si="32"/>
        <v>1014708</v>
      </c>
      <c r="G188" s="575">
        <f t="shared" si="32"/>
        <v>899651</v>
      </c>
      <c r="H188" s="576">
        <f t="shared" si="32"/>
        <v>0</v>
      </c>
      <c r="I188" s="576">
        <f t="shared" si="32"/>
        <v>0</v>
      </c>
      <c r="J188" s="577">
        <f t="shared" si="32"/>
        <v>115057</v>
      </c>
      <c r="K188" s="1527">
        <f aca="true" t="shared" si="33" ref="K188:K255">(IF($E188&lt;&gt;0,$K$2,IF($F188&lt;&gt;0,$K$2,IF($G188&lt;&gt;0,$K$2,IF($H188&lt;&gt;0,$K$2,IF($I188&lt;&gt;0,$K$2,IF($J188&lt;&gt;0,$K$2,"")))))))</f>
        <v>1</v>
      </c>
      <c r="L188" s="1361"/>
      <c r="M188" s="2021"/>
      <c r="N188" s="360"/>
      <c r="O188" s="360"/>
      <c r="P188" s="360"/>
      <c r="Q188" s="360"/>
      <c r="R188" s="360"/>
      <c r="S188" s="360"/>
      <c r="T188" s="360"/>
      <c r="U188" s="360"/>
      <c r="V188" s="360"/>
      <c r="W188" s="360"/>
      <c r="X188" s="360"/>
      <c r="Y188" s="360"/>
      <c r="Z188" s="360"/>
    </row>
    <row r="189" spans="1:26" ht="18.75" customHeight="1">
      <c r="A189" s="9">
        <v>10</v>
      </c>
      <c r="B189" s="1195"/>
      <c r="C189" s="1196">
        <v>101</v>
      </c>
      <c r="D189" s="1197" t="s">
        <v>759</v>
      </c>
      <c r="E189" s="620">
        <f aca="true" t="shared" si="34" ref="E189:J190">SUMIF($C$609:$C$12278,$C189,E$609:E$12278)</f>
        <v>724000</v>
      </c>
      <c r="F189" s="628">
        <f t="shared" si="34"/>
        <v>191149</v>
      </c>
      <c r="G189" s="578">
        <f t="shared" si="34"/>
        <v>156270</v>
      </c>
      <c r="H189" s="579">
        <f t="shared" si="34"/>
        <v>0</v>
      </c>
      <c r="I189" s="579">
        <f t="shared" si="34"/>
        <v>0</v>
      </c>
      <c r="J189" s="580">
        <f t="shared" si="34"/>
        <v>34879</v>
      </c>
      <c r="K189" s="1527">
        <f t="shared" si="33"/>
        <v>1</v>
      </c>
      <c r="L189" s="1361" t="s">
        <v>1654</v>
      </c>
      <c r="M189" s="2021"/>
      <c r="N189" s="360"/>
      <c r="O189" s="360"/>
      <c r="P189" s="360"/>
      <c r="Q189" s="360"/>
      <c r="R189" s="360"/>
      <c r="S189" s="360"/>
      <c r="T189" s="360"/>
      <c r="U189" s="360"/>
      <c r="V189" s="360"/>
      <c r="W189" s="360"/>
      <c r="X189" s="360"/>
      <c r="Y189" s="360"/>
      <c r="Z189" s="360"/>
    </row>
    <row r="190" spans="1:26" ht="18.75" customHeight="1">
      <c r="A190" s="9">
        <v>15</v>
      </c>
      <c r="B190" s="1195"/>
      <c r="C190" s="1198">
        <v>102</v>
      </c>
      <c r="D190" s="1199" t="s">
        <v>760</v>
      </c>
      <c r="E190" s="626">
        <f t="shared" si="34"/>
        <v>3741000</v>
      </c>
      <c r="F190" s="629">
        <f t="shared" si="34"/>
        <v>823559</v>
      </c>
      <c r="G190" s="581">
        <f t="shared" si="34"/>
        <v>743381</v>
      </c>
      <c r="H190" s="582">
        <f t="shared" si="34"/>
        <v>0</v>
      </c>
      <c r="I190" s="582">
        <f t="shared" si="34"/>
        <v>0</v>
      </c>
      <c r="J190" s="583">
        <f t="shared" si="34"/>
        <v>80178</v>
      </c>
      <c r="K190" s="1527">
        <f t="shared" si="33"/>
        <v>1</v>
      </c>
      <c r="L190" s="1361" t="s">
        <v>1655</v>
      </c>
      <c r="N190" s="352"/>
      <c r="O190" s="352"/>
      <c r="P190" s="352"/>
      <c r="Q190" s="352"/>
      <c r="R190" s="352"/>
      <c r="S190" s="352"/>
      <c r="T190" s="352"/>
      <c r="U190" s="352"/>
      <c r="V190" s="352"/>
      <c r="W190" s="352"/>
      <c r="X190" s="352"/>
      <c r="Y190" s="352"/>
      <c r="Z190" s="352"/>
    </row>
    <row r="191" spans="1:26" s="352" customFormat="1" ht="18" customHeight="1">
      <c r="A191" s="8">
        <v>35</v>
      </c>
      <c r="B191" s="1194">
        <v>200</v>
      </c>
      <c r="C191" s="2225" t="s">
        <v>761</v>
      </c>
      <c r="D191" s="2225"/>
      <c r="E191" s="461">
        <f aca="true" t="shared" si="35" ref="E191:J191">SUMIF($B$609:$B$12278,$B191,E$609:E$12278)</f>
        <v>372000</v>
      </c>
      <c r="F191" s="462">
        <f t="shared" si="35"/>
        <v>62138</v>
      </c>
      <c r="G191" s="575">
        <f t="shared" si="35"/>
        <v>60028</v>
      </c>
      <c r="H191" s="576">
        <f t="shared" si="35"/>
        <v>0</v>
      </c>
      <c r="I191" s="576">
        <f t="shared" si="35"/>
        <v>0</v>
      </c>
      <c r="J191" s="577">
        <f t="shared" si="35"/>
        <v>2110</v>
      </c>
      <c r="K191" s="1527">
        <f t="shared" si="33"/>
        <v>1</v>
      </c>
      <c r="L191" s="1361" t="s">
        <v>1656</v>
      </c>
      <c r="M191" s="2017"/>
      <c r="N191" s="350"/>
      <c r="O191" s="350"/>
      <c r="P191" s="350"/>
      <c r="Q191" s="350"/>
      <c r="R191" s="350"/>
      <c r="S191" s="350"/>
      <c r="T191" s="350"/>
      <c r="U191" s="350"/>
      <c r="V191" s="350"/>
      <c r="W191" s="350"/>
      <c r="X191" s="350"/>
      <c r="Y191" s="350"/>
      <c r="Z191" s="350"/>
    </row>
    <row r="192" spans="1:12" ht="18" customHeight="1">
      <c r="A192" s="9">
        <v>40</v>
      </c>
      <c r="B192" s="1200"/>
      <c r="C192" s="1196">
        <v>201</v>
      </c>
      <c r="D192" s="1197" t="s">
        <v>762</v>
      </c>
      <c r="E192" s="620">
        <f aca="true" t="shared" si="36" ref="E192:J196">SUMIF($C$609:$C$12278,$C192,E$609:E$12278)</f>
        <v>40000</v>
      </c>
      <c r="F192" s="628">
        <f t="shared" si="36"/>
        <v>9418</v>
      </c>
      <c r="G192" s="578">
        <f t="shared" si="36"/>
        <v>7308</v>
      </c>
      <c r="H192" s="579">
        <f t="shared" si="36"/>
        <v>0</v>
      </c>
      <c r="I192" s="579">
        <f t="shared" si="36"/>
        <v>0</v>
      </c>
      <c r="J192" s="580">
        <f t="shared" si="36"/>
        <v>2110</v>
      </c>
      <c r="K192" s="1527">
        <f t="shared" si="33"/>
        <v>1</v>
      </c>
      <c r="L192" s="1361" t="s">
        <v>1657</v>
      </c>
    </row>
    <row r="193" spans="1:26" ht="18" customHeight="1">
      <c r="A193" s="9">
        <v>45</v>
      </c>
      <c r="B193" s="1201"/>
      <c r="C193" s="1202">
        <v>202</v>
      </c>
      <c r="D193" s="1203" t="s">
        <v>763</v>
      </c>
      <c r="E193" s="622">
        <f t="shared" si="36"/>
        <v>2000</v>
      </c>
      <c r="F193" s="630">
        <f t="shared" si="36"/>
        <v>0</v>
      </c>
      <c r="G193" s="584">
        <f t="shared" si="36"/>
        <v>0</v>
      </c>
      <c r="H193" s="585">
        <f t="shared" si="36"/>
        <v>0</v>
      </c>
      <c r="I193" s="585">
        <f t="shared" si="36"/>
        <v>0</v>
      </c>
      <c r="J193" s="586">
        <f t="shared" si="36"/>
        <v>0</v>
      </c>
      <c r="K193" s="1527">
        <f t="shared" si="33"/>
        <v>1</v>
      </c>
      <c r="L193" s="1361" t="s">
        <v>1658</v>
      </c>
      <c r="N193" s="352"/>
      <c r="O193" s="352"/>
      <c r="P193" s="352"/>
      <c r="Q193" s="352"/>
      <c r="R193" s="352"/>
      <c r="S193" s="352"/>
      <c r="T193" s="352"/>
      <c r="U193" s="352"/>
      <c r="V193" s="352"/>
      <c r="W193" s="352"/>
      <c r="X193" s="352"/>
      <c r="Y193" s="352"/>
      <c r="Z193" s="352"/>
    </row>
    <row r="194" spans="1:12" ht="31.5">
      <c r="A194" s="9">
        <v>50</v>
      </c>
      <c r="B194" s="1204"/>
      <c r="C194" s="1202">
        <v>205</v>
      </c>
      <c r="D194" s="1203" t="s">
        <v>832</v>
      </c>
      <c r="E194" s="622">
        <f t="shared" si="36"/>
        <v>100000</v>
      </c>
      <c r="F194" s="630">
        <f t="shared" si="36"/>
        <v>0</v>
      </c>
      <c r="G194" s="584">
        <f t="shared" si="36"/>
        <v>0</v>
      </c>
      <c r="H194" s="585">
        <f t="shared" si="36"/>
        <v>0</v>
      </c>
      <c r="I194" s="585">
        <f t="shared" si="36"/>
        <v>0</v>
      </c>
      <c r="J194" s="586">
        <f t="shared" si="36"/>
        <v>0</v>
      </c>
      <c r="K194" s="1527">
        <f t="shared" si="33"/>
        <v>1</v>
      </c>
      <c r="L194" s="1361" t="s">
        <v>1659</v>
      </c>
    </row>
    <row r="195" spans="1:12" ht="18" customHeight="1">
      <c r="A195" s="9">
        <v>55</v>
      </c>
      <c r="B195" s="1204"/>
      <c r="C195" s="1202">
        <v>208</v>
      </c>
      <c r="D195" s="1205" t="s">
        <v>833</v>
      </c>
      <c r="E195" s="622">
        <f t="shared" si="36"/>
        <v>200000</v>
      </c>
      <c r="F195" s="630">
        <f t="shared" si="36"/>
        <v>42148</v>
      </c>
      <c r="G195" s="584">
        <f t="shared" si="36"/>
        <v>42148</v>
      </c>
      <c r="H195" s="585">
        <f t="shared" si="36"/>
        <v>0</v>
      </c>
      <c r="I195" s="585">
        <f t="shared" si="36"/>
        <v>0</v>
      </c>
      <c r="J195" s="586">
        <f t="shared" si="36"/>
        <v>0</v>
      </c>
      <c r="K195" s="1527">
        <f t="shared" si="33"/>
        <v>1</v>
      </c>
      <c r="L195" s="1361" t="s">
        <v>1660</v>
      </c>
    </row>
    <row r="196" spans="1:12" ht="18" customHeight="1">
      <c r="A196" s="9">
        <v>60</v>
      </c>
      <c r="B196" s="1200"/>
      <c r="C196" s="1198">
        <v>209</v>
      </c>
      <c r="D196" s="1206" t="s">
        <v>834</v>
      </c>
      <c r="E196" s="626">
        <f t="shared" si="36"/>
        <v>30000</v>
      </c>
      <c r="F196" s="629">
        <f t="shared" si="36"/>
        <v>10572</v>
      </c>
      <c r="G196" s="581">
        <f t="shared" si="36"/>
        <v>10572</v>
      </c>
      <c r="H196" s="582">
        <f t="shared" si="36"/>
        <v>0</v>
      </c>
      <c r="I196" s="582">
        <f t="shared" si="36"/>
        <v>0</v>
      </c>
      <c r="J196" s="583">
        <f t="shared" si="36"/>
        <v>0</v>
      </c>
      <c r="K196" s="1527">
        <f t="shared" si="33"/>
        <v>1</v>
      </c>
      <c r="L196" s="1361" t="s">
        <v>1661</v>
      </c>
    </row>
    <row r="197" spans="1:26" s="352" customFormat="1" ht="18.75" customHeight="1">
      <c r="A197" s="8">
        <v>65</v>
      </c>
      <c r="B197" s="1194">
        <v>500</v>
      </c>
      <c r="C197" s="2226" t="s">
        <v>835</v>
      </c>
      <c r="D197" s="2226"/>
      <c r="E197" s="461">
        <f aca="true" t="shared" si="37" ref="E197:J197">SUMIF($B$609:$B$12278,$B197,E$609:E$12278)</f>
        <v>1193000</v>
      </c>
      <c r="F197" s="462">
        <f t="shared" si="37"/>
        <v>281928</v>
      </c>
      <c r="G197" s="575">
        <f t="shared" si="37"/>
        <v>0</v>
      </c>
      <c r="H197" s="576">
        <f t="shared" si="37"/>
        <v>0</v>
      </c>
      <c r="I197" s="576">
        <f t="shared" si="37"/>
        <v>0</v>
      </c>
      <c r="J197" s="577">
        <f t="shared" si="37"/>
        <v>281928</v>
      </c>
      <c r="K197" s="1527">
        <f t="shared" si="33"/>
        <v>1</v>
      </c>
      <c r="L197" s="1361" t="s">
        <v>1662</v>
      </c>
      <c r="M197" s="2017"/>
      <c r="N197" s="350"/>
      <c r="O197" s="350"/>
      <c r="P197" s="350"/>
      <c r="Q197" s="350"/>
      <c r="R197" s="350"/>
      <c r="S197" s="350"/>
      <c r="T197" s="350"/>
      <c r="U197" s="350"/>
      <c r="V197" s="350"/>
      <c r="W197" s="350"/>
      <c r="X197" s="350"/>
      <c r="Y197" s="350"/>
      <c r="Z197" s="350"/>
    </row>
    <row r="198" spans="1:12" ht="31.5">
      <c r="A198" s="9">
        <v>70</v>
      </c>
      <c r="B198" s="1200"/>
      <c r="C198" s="1207">
        <v>551</v>
      </c>
      <c r="D198" s="1208" t="s">
        <v>836</v>
      </c>
      <c r="E198" s="620">
        <f aca="true" t="shared" si="38" ref="E198:J204">SUMIF($C$609:$C$12278,$C198,E$609:E$12278)</f>
        <v>733000</v>
      </c>
      <c r="F198" s="628">
        <f t="shared" si="38"/>
        <v>175600</v>
      </c>
      <c r="G198" s="578">
        <f t="shared" si="38"/>
        <v>0</v>
      </c>
      <c r="H198" s="579">
        <f t="shared" si="38"/>
        <v>0</v>
      </c>
      <c r="I198" s="579">
        <f t="shared" si="38"/>
        <v>0</v>
      </c>
      <c r="J198" s="580">
        <f t="shared" si="38"/>
        <v>175600</v>
      </c>
      <c r="K198" s="1527">
        <f t="shared" si="33"/>
        <v>1</v>
      </c>
      <c r="L198" s="1361" t="s">
        <v>1657</v>
      </c>
    </row>
    <row r="199" spans="1:26" ht="18.75" customHeight="1">
      <c r="A199" s="9">
        <v>75</v>
      </c>
      <c r="B199" s="1200"/>
      <c r="C199" s="1209">
        <f>C198+1</f>
        <v>552</v>
      </c>
      <c r="D199" s="1210" t="s">
        <v>1611</v>
      </c>
      <c r="E199" s="622">
        <f t="shared" si="38"/>
        <v>0</v>
      </c>
      <c r="F199" s="630">
        <f t="shared" si="38"/>
        <v>0</v>
      </c>
      <c r="G199" s="584">
        <f t="shared" si="38"/>
        <v>0</v>
      </c>
      <c r="H199" s="585">
        <f t="shared" si="38"/>
        <v>0</v>
      </c>
      <c r="I199" s="585">
        <f t="shared" si="38"/>
        <v>0</v>
      </c>
      <c r="J199" s="586">
        <f t="shared" si="38"/>
        <v>0</v>
      </c>
      <c r="K199" s="1527">
        <f t="shared" si="33"/>
      </c>
      <c r="L199" s="1361" t="s">
        <v>1663</v>
      </c>
      <c r="N199" s="352"/>
      <c r="O199" s="352"/>
      <c r="P199" s="352"/>
      <c r="Q199" s="352"/>
      <c r="R199" s="352"/>
      <c r="S199" s="352"/>
      <c r="T199" s="352"/>
      <c r="U199" s="352"/>
      <c r="V199" s="352"/>
      <c r="W199" s="352"/>
      <c r="X199" s="352"/>
      <c r="Y199" s="352"/>
      <c r="Z199" s="352"/>
    </row>
    <row r="200" spans="1:12" ht="18.75" customHeight="1">
      <c r="A200" s="9">
        <v>80</v>
      </c>
      <c r="B200" s="1211"/>
      <c r="C200" s="1209">
        <v>558</v>
      </c>
      <c r="D200" s="1212" t="s">
        <v>1438</v>
      </c>
      <c r="E200" s="622">
        <f t="shared" si="38"/>
        <v>0</v>
      </c>
      <c r="F200" s="630">
        <f t="shared" si="38"/>
        <v>0</v>
      </c>
      <c r="G200" s="584">
        <f t="shared" si="38"/>
        <v>0</v>
      </c>
      <c r="H200" s="585">
        <f t="shared" si="38"/>
        <v>0</v>
      </c>
      <c r="I200" s="585">
        <f t="shared" si="38"/>
        <v>0</v>
      </c>
      <c r="J200" s="586">
        <f t="shared" si="38"/>
        <v>0</v>
      </c>
      <c r="K200" s="1527">
        <f t="shared" si="33"/>
      </c>
      <c r="L200" s="1361" t="s">
        <v>1659</v>
      </c>
    </row>
    <row r="201" spans="1:12" ht="18.75" customHeight="1">
      <c r="A201" s="9">
        <v>80</v>
      </c>
      <c r="B201" s="1211"/>
      <c r="C201" s="1209">
        <v>560</v>
      </c>
      <c r="D201" s="1212" t="s">
        <v>838</v>
      </c>
      <c r="E201" s="622">
        <f t="shared" si="38"/>
        <v>290000</v>
      </c>
      <c r="F201" s="630">
        <f t="shared" si="38"/>
        <v>69494</v>
      </c>
      <c r="G201" s="584">
        <f t="shared" si="38"/>
        <v>0</v>
      </c>
      <c r="H201" s="585">
        <f t="shared" si="38"/>
        <v>0</v>
      </c>
      <c r="I201" s="585">
        <f t="shared" si="38"/>
        <v>0</v>
      </c>
      <c r="J201" s="586">
        <f t="shared" si="38"/>
        <v>69494</v>
      </c>
      <c r="K201" s="1527">
        <f t="shared" si="33"/>
        <v>1</v>
      </c>
      <c r="L201" s="1361" t="s">
        <v>1664</v>
      </c>
    </row>
    <row r="202" spans="1:12" ht="18.75" customHeight="1">
      <c r="A202" s="9">
        <v>85</v>
      </c>
      <c r="B202" s="1211"/>
      <c r="C202" s="1209">
        <v>580</v>
      </c>
      <c r="D202" s="1210" t="s">
        <v>839</v>
      </c>
      <c r="E202" s="622">
        <f t="shared" si="38"/>
        <v>170000</v>
      </c>
      <c r="F202" s="630">
        <f t="shared" si="38"/>
        <v>36834</v>
      </c>
      <c r="G202" s="584">
        <f t="shared" si="38"/>
        <v>0</v>
      </c>
      <c r="H202" s="585">
        <f t="shared" si="38"/>
        <v>0</v>
      </c>
      <c r="I202" s="585">
        <f t="shared" si="38"/>
        <v>0</v>
      </c>
      <c r="J202" s="586">
        <f t="shared" si="38"/>
        <v>36834</v>
      </c>
      <c r="K202" s="1527">
        <f t="shared" si="33"/>
        <v>1</v>
      </c>
      <c r="L202" s="1361"/>
    </row>
    <row r="203" spans="1:12" ht="30">
      <c r="A203" s="9">
        <v>90</v>
      </c>
      <c r="B203" s="1200"/>
      <c r="C203" s="1209">
        <v>588</v>
      </c>
      <c r="D203" s="1210" t="s">
        <v>1442</v>
      </c>
      <c r="E203" s="622">
        <f t="shared" si="38"/>
        <v>0</v>
      </c>
      <c r="F203" s="630">
        <f t="shared" si="38"/>
        <v>0</v>
      </c>
      <c r="G203" s="584">
        <f t="shared" si="38"/>
        <v>0</v>
      </c>
      <c r="H203" s="585">
        <f t="shared" si="38"/>
        <v>0</v>
      </c>
      <c r="I203" s="585">
        <f t="shared" si="38"/>
        <v>0</v>
      </c>
      <c r="J203" s="586">
        <f t="shared" si="38"/>
        <v>0</v>
      </c>
      <c r="K203" s="1527">
        <f t="shared" si="33"/>
      </c>
      <c r="L203" s="1361"/>
    </row>
    <row r="204" spans="1:12" ht="31.5">
      <c r="A204" s="9">
        <v>90</v>
      </c>
      <c r="B204" s="1200"/>
      <c r="C204" s="1213">
        <v>590</v>
      </c>
      <c r="D204" s="1214" t="s">
        <v>840</v>
      </c>
      <c r="E204" s="626">
        <f t="shared" si="38"/>
        <v>0</v>
      </c>
      <c r="F204" s="629">
        <f t="shared" si="38"/>
        <v>0</v>
      </c>
      <c r="G204" s="581">
        <f t="shared" si="38"/>
        <v>0</v>
      </c>
      <c r="H204" s="582">
        <f t="shared" si="38"/>
        <v>0</v>
      </c>
      <c r="I204" s="582">
        <f t="shared" si="38"/>
        <v>0</v>
      </c>
      <c r="J204" s="583">
        <f t="shared" si="38"/>
        <v>0</v>
      </c>
      <c r="K204" s="1527">
        <f t="shared" si="33"/>
      </c>
      <c r="L204" s="1361"/>
    </row>
    <row r="205" spans="1:26" s="352" customFormat="1" ht="18.75" customHeight="1">
      <c r="A205" s="8">
        <v>115</v>
      </c>
      <c r="B205" s="1194">
        <v>800</v>
      </c>
      <c r="C205" s="2227" t="s">
        <v>841</v>
      </c>
      <c r="D205" s="2228"/>
      <c r="E205" s="463">
        <f aca="true" t="shared" si="39" ref="E205:J206">SUMIF($B$609:$B$12278,$B205,E$609:E$12278)</f>
        <v>0</v>
      </c>
      <c r="F205" s="464">
        <f t="shared" si="39"/>
        <v>0</v>
      </c>
      <c r="G205" s="575">
        <f t="shared" si="39"/>
        <v>0</v>
      </c>
      <c r="H205" s="576">
        <f t="shared" si="39"/>
        <v>0</v>
      </c>
      <c r="I205" s="576">
        <f t="shared" si="39"/>
        <v>0</v>
      </c>
      <c r="J205" s="577">
        <f t="shared" si="39"/>
        <v>0</v>
      </c>
      <c r="K205" s="1527">
        <f t="shared" si="33"/>
      </c>
      <c r="L205" s="1361" t="s">
        <v>1665</v>
      </c>
      <c r="M205" s="2017"/>
      <c r="N205" s="350"/>
      <c r="O205" s="350"/>
      <c r="P205" s="350"/>
      <c r="Q205" s="350"/>
      <c r="R205" s="350"/>
      <c r="S205" s="350"/>
      <c r="T205" s="350"/>
      <c r="U205" s="350"/>
      <c r="V205" s="350"/>
      <c r="W205" s="350"/>
      <c r="X205" s="350"/>
      <c r="Y205" s="350"/>
      <c r="Z205" s="350"/>
    </row>
    <row r="206" spans="1:26" s="352" customFormat="1" ht="18.75" customHeight="1">
      <c r="A206" s="8">
        <v>125</v>
      </c>
      <c r="B206" s="1194">
        <v>1000</v>
      </c>
      <c r="C206" s="2225" t="s">
        <v>842</v>
      </c>
      <c r="D206" s="2225"/>
      <c r="E206" s="463">
        <f t="shared" si="39"/>
        <v>2026200</v>
      </c>
      <c r="F206" s="464">
        <f t="shared" si="39"/>
        <v>197075</v>
      </c>
      <c r="G206" s="575">
        <f t="shared" si="39"/>
        <v>161273</v>
      </c>
      <c r="H206" s="576">
        <f t="shared" si="39"/>
        <v>0</v>
      </c>
      <c r="I206" s="576">
        <f t="shared" si="39"/>
        <v>35802</v>
      </c>
      <c r="J206" s="577">
        <f t="shared" si="39"/>
        <v>0</v>
      </c>
      <c r="K206" s="1527">
        <f t="shared" si="33"/>
        <v>1</v>
      </c>
      <c r="L206" s="1361" t="s">
        <v>1657</v>
      </c>
      <c r="M206" s="2017"/>
      <c r="N206" s="350"/>
      <c r="O206" s="350"/>
      <c r="P206" s="350"/>
      <c r="Q206" s="350"/>
      <c r="R206" s="350"/>
      <c r="S206" s="350"/>
      <c r="T206" s="350"/>
      <c r="U206" s="350"/>
      <c r="V206" s="350"/>
      <c r="W206" s="350"/>
      <c r="X206" s="350"/>
      <c r="Y206" s="350"/>
      <c r="Z206" s="350"/>
    </row>
    <row r="207" spans="1:26" ht="18.75" customHeight="1">
      <c r="A207" s="9">
        <v>130</v>
      </c>
      <c r="B207" s="1201"/>
      <c r="C207" s="1196">
        <v>1011</v>
      </c>
      <c r="D207" s="1215" t="s">
        <v>843</v>
      </c>
      <c r="E207" s="620">
        <f aca="true" t="shared" si="40" ref="E207:J216">SUMIF($C$609:$C$12278,$C207,E$609:E$12278)</f>
        <v>0</v>
      </c>
      <c r="F207" s="628">
        <f t="shared" si="40"/>
        <v>0</v>
      </c>
      <c r="G207" s="578">
        <f t="shared" si="40"/>
        <v>0</v>
      </c>
      <c r="H207" s="579">
        <f t="shared" si="40"/>
        <v>0</v>
      </c>
      <c r="I207" s="579">
        <f t="shared" si="40"/>
        <v>0</v>
      </c>
      <c r="J207" s="580">
        <f t="shared" si="40"/>
        <v>0</v>
      </c>
      <c r="K207" s="1527">
        <f t="shared" si="33"/>
      </c>
      <c r="L207" s="1361"/>
      <c r="N207" s="352"/>
      <c r="O207" s="352"/>
      <c r="P207" s="352"/>
      <c r="Q207" s="352"/>
      <c r="R207" s="352"/>
      <c r="S207" s="352"/>
      <c r="T207" s="352"/>
      <c r="U207" s="352"/>
      <c r="V207" s="352"/>
      <c r="W207" s="352"/>
      <c r="X207" s="352"/>
      <c r="Y207" s="352"/>
      <c r="Z207" s="352"/>
    </row>
    <row r="208" spans="1:26" ht="18.75" customHeight="1">
      <c r="A208" s="9">
        <v>135</v>
      </c>
      <c r="B208" s="1201"/>
      <c r="C208" s="1202">
        <v>1012</v>
      </c>
      <c r="D208" s="1203" t="s">
        <v>844</v>
      </c>
      <c r="E208" s="622">
        <f t="shared" si="40"/>
        <v>0</v>
      </c>
      <c r="F208" s="630">
        <f t="shared" si="40"/>
        <v>0</v>
      </c>
      <c r="G208" s="584">
        <f t="shared" si="40"/>
        <v>0</v>
      </c>
      <c r="H208" s="585">
        <f t="shared" si="40"/>
        <v>0</v>
      </c>
      <c r="I208" s="585">
        <f t="shared" si="40"/>
        <v>0</v>
      </c>
      <c r="J208" s="586">
        <f t="shared" si="40"/>
        <v>0</v>
      </c>
      <c r="K208" s="1527">
        <f t="shared" si="33"/>
      </c>
      <c r="L208" s="1361" t="s">
        <v>1654</v>
      </c>
      <c r="N208" s="352"/>
      <c r="O208" s="352"/>
      <c r="P208" s="352"/>
      <c r="Q208" s="352"/>
      <c r="R208" s="352"/>
      <c r="S208" s="352"/>
      <c r="T208" s="352"/>
      <c r="U208" s="352"/>
      <c r="V208" s="352"/>
      <c r="W208" s="352"/>
      <c r="X208" s="352"/>
      <c r="Y208" s="352"/>
      <c r="Z208" s="352"/>
    </row>
    <row r="209" spans="1:12" ht="18.75" customHeight="1">
      <c r="A209" s="9">
        <v>140</v>
      </c>
      <c r="B209" s="1201"/>
      <c r="C209" s="1202">
        <v>1013</v>
      </c>
      <c r="D209" s="1203" t="s">
        <v>845</v>
      </c>
      <c r="E209" s="622">
        <f t="shared" si="40"/>
        <v>0</v>
      </c>
      <c r="F209" s="630">
        <f t="shared" si="40"/>
        <v>0</v>
      </c>
      <c r="G209" s="584">
        <f t="shared" si="40"/>
        <v>0</v>
      </c>
      <c r="H209" s="585">
        <f t="shared" si="40"/>
        <v>0</v>
      </c>
      <c r="I209" s="585">
        <f t="shared" si="40"/>
        <v>0</v>
      </c>
      <c r="J209" s="586">
        <f t="shared" si="40"/>
        <v>0</v>
      </c>
      <c r="K209" s="1527">
        <f t="shared" si="33"/>
      </c>
      <c r="L209" s="1361" t="s">
        <v>1657</v>
      </c>
    </row>
    <row r="210" spans="1:12" ht="18.75" customHeight="1">
      <c r="A210" s="9">
        <v>145</v>
      </c>
      <c r="B210" s="1201"/>
      <c r="C210" s="1202">
        <v>1014</v>
      </c>
      <c r="D210" s="1203" t="s">
        <v>846</v>
      </c>
      <c r="E210" s="622">
        <f t="shared" si="40"/>
        <v>5000</v>
      </c>
      <c r="F210" s="630">
        <f t="shared" si="40"/>
        <v>0</v>
      </c>
      <c r="G210" s="584">
        <f t="shared" si="40"/>
        <v>0</v>
      </c>
      <c r="H210" s="585">
        <f t="shared" si="40"/>
        <v>0</v>
      </c>
      <c r="I210" s="585">
        <f t="shared" si="40"/>
        <v>0</v>
      </c>
      <c r="J210" s="586">
        <f t="shared" si="40"/>
        <v>0</v>
      </c>
      <c r="K210" s="1527">
        <f t="shared" si="33"/>
        <v>1</v>
      </c>
      <c r="L210" s="1361" t="s">
        <v>1667</v>
      </c>
    </row>
    <row r="211" spans="1:12" ht="18.75" customHeight="1">
      <c r="A211" s="9">
        <v>150</v>
      </c>
      <c r="B211" s="1201"/>
      <c r="C211" s="1202">
        <v>1015</v>
      </c>
      <c r="D211" s="1203" t="s">
        <v>847</v>
      </c>
      <c r="E211" s="622">
        <f t="shared" si="40"/>
        <v>160000</v>
      </c>
      <c r="F211" s="630">
        <f t="shared" si="40"/>
        <v>14642</v>
      </c>
      <c r="G211" s="584">
        <f t="shared" si="40"/>
        <v>10841</v>
      </c>
      <c r="H211" s="585">
        <f t="shared" si="40"/>
        <v>0</v>
      </c>
      <c r="I211" s="585">
        <f t="shared" si="40"/>
        <v>3801</v>
      </c>
      <c r="J211" s="586">
        <f t="shared" si="40"/>
        <v>0</v>
      </c>
      <c r="K211" s="1527">
        <f t="shared" si="33"/>
        <v>1</v>
      </c>
      <c r="L211" s="1361" t="s">
        <v>1669</v>
      </c>
    </row>
    <row r="212" spans="1:12" ht="18.75" customHeight="1">
      <c r="A212" s="9">
        <v>155</v>
      </c>
      <c r="B212" s="1201"/>
      <c r="C212" s="1216">
        <v>1016</v>
      </c>
      <c r="D212" s="1217" t="s">
        <v>848</v>
      </c>
      <c r="E212" s="624">
        <f t="shared" si="40"/>
        <v>180000</v>
      </c>
      <c r="F212" s="631">
        <f t="shared" si="40"/>
        <v>44424</v>
      </c>
      <c r="G212" s="587">
        <f t="shared" si="40"/>
        <v>44424</v>
      </c>
      <c r="H212" s="588">
        <f t="shared" si="40"/>
        <v>0</v>
      </c>
      <c r="I212" s="588">
        <f t="shared" si="40"/>
        <v>0</v>
      </c>
      <c r="J212" s="589">
        <f t="shared" si="40"/>
        <v>0</v>
      </c>
      <c r="K212" s="1527">
        <f t="shared" si="33"/>
        <v>1</v>
      </c>
      <c r="L212" s="1361" t="s">
        <v>1666</v>
      </c>
    </row>
    <row r="213" spans="1:12" ht="18.75" customHeight="1">
      <c r="A213" s="9">
        <v>160</v>
      </c>
      <c r="B213" s="1195"/>
      <c r="C213" s="1218">
        <v>1020</v>
      </c>
      <c r="D213" s="1219" t="s">
        <v>849</v>
      </c>
      <c r="E213" s="632">
        <f t="shared" si="40"/>
        <v>1217000</v>
      </c>
      <c r="F213" s="633">
        <f t="shared" si="40"/>
        <v>96086</v>
      </c>
      <c r="G213" s="590">
        <f t="shared" si="40"/>
        <v>91751</v>
      </c>
      <c r="H213" s="591">
        <f t="shared" si="40"/>
        <v>0</v>
      </c>
      <c r="I213" s="591">
        <f t="shared" si="40"/>
        <v>4335</v>
      </c>
      <c r="J213" s="592">
        <f t="shared" si="40"/>
        <v>0</v>
      </c>
      <c r="K213" s="1527">
        <f t="shared" si="33"/>
        <v>1</v>
      </c>
      <c r="L213" s="1361" t="s">
        <v>1670</v>
      </c>
    </row>
    <row r="214" spans="1:12" ht="18.75" customHeight="1">
      <c r="A214" s="9">
        <v>165</v>
      </c>
      <c r="B214" s="1201"/>
      <c r="C214" s="1220">
        <v>1030</v>
      </c>
      <c r="D214" s="1221" t="s">
        <v>850</v>
      </c>
      <c r="E214" s="634">
        <f t="shared" si="40"/>
        <v>100000</v>
      </c>
      <c r="F214" s="635">
        <f t="shared" si="40"/>
        <v>7743</v>
      </c>
      <c r="G214" s="593">
        <f t="shared" si="40"/>
        <v>5829</v>
      </c>
      <c r="H214" s="594">
        <f t="shared" si="40"/>
        <v>0</v>
      </c>
      <c r="I214" s="594">
        <f t="shared" si="40"/>
        <v>1914</v>
      </c>
      <c r="J214" s="595">
        <f t="shared" si="40"/>
        <v>0</v>
      </c>
      <c r="K214" s="1527">
        <f t="shared" si="33"/>
        <v>1</v>
      </c>
      <c r="L214" s="1362" t="s">
        <v>1659</v>
      </c>
    </row>
    <row r="215" spans="1:12" ht="18.75" customHeight="1">
      <c r="A215" s="9">
        <v>175</v>
      </c>
      <c r="B215" s="1201"/>
      <c r="C215" s="1218">
        <v>1051</v>
      </c>
      <c r="D215" s="1222" t="s">
        <v>851</v>
      </c>
      <c r="E215" s="632">
        <f t="shared" si="40"/>
        <v>160000</v>
      </c>
      <c r="F215" s="633">
        <f t="shared" si="40"/>
        <v>16089</v>
      </c>
      <c r="G215" s="590">
        <f t="shared" si="40"/>
        <v>212</v>
      </c>
      <c r="H215" s="591">
        <f t="shared" si="40"/>
        <v>0</v>
      </c>
      <c r="I215" s="591">
        <f t="shared" si="40"/>
        <v>15877</v>
      </c>
      <c r="J215" s="592">
        <f t="shared" si="40"/>
        <v>0</v>
      </c>
      <c r="K215" s="1527">
        <f t="shared" si="33"/>
        <v>1</v>
      </c>
      <c r="L215" s="1362"/>
    </row>
    <row r="216" spans="1:12" ht="18.75" customHeight="1">
      <c r="A216" s="9">
        <v>180</v>
      </c>
      <c r="B216" s="1201"/>
      <c r="C216" s="1202">
        <v>1052</v>
      </c>
      <c r="D216" s="1203" t="s">
        <v>852</v>
      </c>
      <c r="E216" s="622">
        <f t="shared" si="40"/>
        <v>150000</v>
      </c>
      <c r="F216" s="630">
        <f t="shared" si="40"/>
        <v>17836</v>
      </c>
      <c r="G216" s="584">
        <f t="shared" si="40"/>
        <v>7968</v>
      </c>
      <c r="H216" s="585">
        <f t="shared" si="40"/>
        <v>0</v>
      </c>
      <c r="I216" s="585">
        <f t="shared" si="40"/>
        <v>9868</v>
      </c>
      <c r="J216" s="586">
        <f t="shared" si="40"/>
        <v>0</v>
      </c>
      <c r="K216" s="1527">
        <f t="shared" si="33"/>
        <v>1</v>
      </c>
      <c r="L216" s="1362"/>
    </row>
    <row r="217" spans="1:12" ht="18.75" customHeight="1">
      <c r="A217" s="9">
        <v>185</v>
      </c>
      <c r="B217" s="1201"/>
      <c r="C217" s="1220">
        <v>1053</v>
      </c>
      <c r="D217" s="1221" t="s">
        <v>1268</v>
      </c>
      <c r="E217" s="634">
        <f aca="true" t="shared" si="41" ref="E217:J223">SUMIF($C$609:$C$12278,$C217,E$609:E$12278)</f>
        <v>0</v>
      </c>
      <c r="F217" s="635">
        <f t="shared" si="41"/>
        <v>0</v>
      </c>
      <c r="G217" s="593">
        <f t="shared" si="41"/>
        <v>0</v>
      </c>
      <c r="H217" s="594">
        <f t="shared" si="41"/>
        <v>0</v>
      </c>
      <c r="I217" s="594">
        <f t="shared" si="41"/>
        <v>0</v>
      </c>
      <c r="J217" s="595">
        <f t="shared" si="41"/>
        <v>0</v>
      </c>
      <c r="K217" s="1527">
        <f t="shared" si="33"/>
      </c>
      <c r="L217" s="1361" t="s">
        <v>1654</v>
      </c>
    </row>
    <row r="218" spans="1:12" ht="18.75" customHeight="1">
      <c r="A218" s="9">
        <v>190</v>
      </c>
      <c r="B218" s="1201"/>
      <c r="C218" s="1218">
        <v>1062</v>
      </c>
      <c r="D218" s="1219" t="s">
        <v>853</v>
      </c>
      <c r="E218" s="632">
        <f t="shared" si="41"/>
        <v>40000</v>
      </c>
      <c r="F218" s="633">
        <f t="shared" si="41"/>
        <v>34</v>
      </c>
      <c r="G218" s="590">
        <f t="shared" si="41"/>
        <v>34</v>
      </c>
      <c r="H218" s="591">
        <f t="shared" si="41"/>
        <v>0</v>
      </c>
      <c r="I218" s="591">
        <f t="shared" si="41"/>
        <v>0</v>
      </c>
      <c r="J218" s="592">
        <f t="shared" si="41"/>
        <v>0</v>
      </c>
      <c r="K218" s="1527">
        <f t="shared" si="33"/>
        <v>1</v>
      </c>
      <c r="L218" s="1361" t="s">
        <v>1655</v>
      </c>
    </row>
    <row r="219" spans="1:12" ht="18.75" customHeight="1">
      <c r="A219" s="9">
        <v>200</v>
      </c>
      <c r="B219" s="1201"/>
      <c r="C219" s="1220">
        <v>1063</v>
      </c>
      <c r="D219" s="1223" t="s">
        <v>1226</v>
      </c>
      <c r="E219" s="634">
        <f t="shared" si="41"/>
        <v>0</v>
      </c>
      <c r="F219" s="635">
        <f t="shared" si="41"/>
        <v>0</v>
      </c>
      <c r="G219" s="593">
        <f t="shared" si="41"/>
        <v>0</v>
      </c>
      <c r="H219" s="594">
        <f t="shared" si="41"/>
        <v>0</v>
      </c>
      <c r="I219" s="594">
        <f t="shared" si="41"/>
        <v>0</v>
      </c>
      <c r="J219" s="595">
        <f t="shared" si="41"/>
        <v>0</v>
      </c>
      <c r="K219" s="1527">
        <f t="shared" si="33"/>
      </c>
      <c r="L219" s="1361" t="s">
        <v>1656</v>
      </c>
    </row>
    <row r="220" spans="1:12" ht="18.75" customHeight="1">
      <c r="A220" s="9">
        <v>200</v>
      </c>
      <c r="B220" s="1201"/>
      <c r="C220" s="1224">
        <v>1069</v>
      </c>
      <c r="D220" s="1225" t="s">
        <v>854</v>
      </c>
      <c r="E220" s="636">
        <f t="shared" si="41"/>
        <v>2000</v>
      </c>
      <c r="F220" s="637">
        <f t="shared" si="41"/>
        <v>214</v>
      </c>
      <c r="G220" s="596">
        <f t="shared" si="41"/>
        <v>207</v>
      </c>
      <c r="H220" s="597">
        <f t="shared" si="41"/>
        <v>0</v>
      </c>
      <c r="I220" s="597">
        <f t="shared" si="41"/>
        <v>7</v>
      </c>
      <c r="J220" s="598">
        <f t="shared" si="41"/>
        <v>0</v>
      </c>
      <c r="K220" s="1527">
        <f t="shared" si="33"/>
        <v>1</v>
      </c>
      <c r="L220" s="1361" t="s">
        <v>1657</v>
      </c>
    </row>
    <row r="221" spans="1:12" ht="18.75" customHeight="1">
      <c r="A221" s="9">
        <v>205</v>
      </c>
      <c r="B221" s="1195"/>
      <c r="C221" s="1218">
        <v>1091</v>
      </c>
      <c r="D221" s="1222" t="s">
        <v>1596</v>
      </c>
      <c r="E221" s="632">
        <f t="shared" si="41"/>
        <v>7200</v>
      </c>
      <c r="F221" s="633">
        <f t="shared" si="41"/>
        <v>0</v>
      </c>
      <c r="G221" s="590">
        <f t="shared" si="41"/>
        <v>0</v>
      </c>
      <c r="H221" s="591">
        <f t="shared" si="41"/>
        <v>0</v>
      </c>
      <c r="I221" s="591">
        <f t="shared" si="41"/>
        <v>0</v>
      </c>
      <c r="J221" s="592">
        <f t="shared" si="41"/>
        <v>0</v>
      </c>
      <c r="K221" s="1527">
        <f t="shared" si="33"/>
        <v>1</v>
      </c>
      <c r="L221" s="1361" t="s">
        <v>1658</v>
      </c>
    </row>
    <row r="222" spans="1:12" ht="18.75" customHeight="1">
      <c r="A222" s="9">
        <v>210</v>
      </c>
      <c r="B222" s="1201"/>
      <c r="C222" s="1202">
        <v>1092</v>
      </c>
      <c r="D222" s="1203" t="s">
        <v>1032</v>
      </c>
      <c r="E222" s="622">
        <f t="shared" si="41"/>
        <v>5000</v>
      </c>
      <c r="F222" s="630">
        <f t="shared" si="41"/>
        <v>7</v>
      </c>
      <c r="G222" s="584">
        <f t="shared" si="41"/>
        <v>7</v>
      </c>
      <c r="H222" s="585">
        <f t="shared" si="41"/>
        <v>0</v>
      </c>
      <c r="I222" s="585">
        <f t="shared" si="41"/>
        <v>0</v>
      </c>
      <c r="J222" s="586">
        <f t="shared" si="41"/>
        <v>0</v>
      </c>
      <c r="K222" s="1527">
        <f t="shared" si="33"/>
        <v>1</v>
      </c>
      <c r="L222" s="1361" t="s">
        <v>1659</v>
      </c>
    </row>
    <row r="223" spans="1:12" ht="18.75" customHeight="1">
      <c r="A223" s="9">
        <v>215</v>
      </c>
      <c r="B223" s="1201"/>
      <c r="C223" s="1198">
        <v>1098</v>
      </c>
      <c r="D223" s="1226" t="s">
        <v>855</v>
      </c>
      <c r="E223" s="626">
        <f t="shared" si="41"/>
        <v>0</v>
      </c>
      <c r="F223" s="629">
        <f t="shared" si="41"/>
        <v>0</v>
      </c>
      <c r="G223" s="581">
        <f t="shared" si="41"/>
        <v>0</v>
      </c>
      <c r="H223" s="582">
        <f t="shared" si="41"/>
        <v>0</v>
      </c>
      <c r="I223" s="582">
        <f t="shared" si="41"/>
        <v>0</v>
      </c>
      <c r="J223" s="583">
        <f t="shared" si="41"/>
        <v>0</v>
      </c>
      <c r="K223" s="1527">
        <f t="shared" si="33"/>
      </c>
      <c r="L223" s="1361" t="s">
        <v>1660</v>
      </c>
    </row>
    <row r="224" spans="1:26" s="352" customFormat="1" ht="18.75" customHeight="1">
      <c r="A224" s="8">
        <v>220</v>
      </c>
      <c r="B224" s="1194">
        <v>1900</v>
      </c>
      <c r="C224" s="2217" t="s">
        <v>2006</v>
      </c>
      <c r="D224" s="2217"/>
      <c r="E224" s="463">
        <f aca="true" t="shared" si="42" ref="E224:J224">SUMIF($B$609:$B$12278,$B224,E$609:E$12278)</f>
        <v>50000</v>
      </c>
      <c r="F224" s="464">
        <f t="shared" si="42"/>
        <v>39739</v>
      </c>
      <c r="G224" s="575">
        <f t="shared" si="42"/>
        <v>32121</v>
      </c>
      <c r="H224" s="576">
        <f t="shared" si="42"/>
        <v>0</v>
      </c>
      <c r="I224" s="576">
        <f t="shared" si="42"/>
        <v>7618</v>
      </c>
      <c r="J224" s="577">
        <f t="shared" si="42"/>
        <v>0</v>
      </c>
      <c r="K224" s="1527">
        <f t="shared" si="33"/>
        <v>1</v>
      </c>
      <c r="L224" s="1361" t="s">
        <v>1661</v>
      </c>
      <c r="M224" s="2017"/>
      <c r="N224" s="350"/>
      <c r="O224" s="350"/>
      <c r="P224" s="350"/>
      <c r="Q224" s="350"/>
      <c r="R224" s="350"/>
      <c r="S224" s="350"/>
      <c r="T224" s="350"/>
      <c r="U224" s="350"/>
      <c r="V224" s="350"/>
      <c r="W224" s="350"/>
      <c r="X224" s="350"/>
      <c r="Y224" s="350"/>
      <c r="Z224" s="350"/>
    </row>
    <row r="225" spans="1:12" ht="18.75" customHeight="1">
      <c r="A225" s="9">
        <v>225</v>
      </c>
      <c r="B225" s="1201"/>
      <c r="C225" s="1196">
        <v>1901</v>
      </c>
      <c r="D225" s="1227" t="s">
        <v>1598</v>
      </c>
      <c r="E225" s="620">
        <f aca="true" t="shared" si="43" ref="E225:J227">SUMIF($C$609:$C$12278,$C225,E$609:E$12278)</f>
        <v>5000</v>
      </c>
      <c r="F225" s="628">
        <f t="shared" si="43"/>
        <v>3131</v>
      </c>
      <c r="G225" s="578">
        <f t="shared" si="43"/>
        <v>0</v>
      </c>
      <c r="H225" s="579">
        <f t="shared" si="43"/>
        <v>0</v>
      </c>
      <c r="I225" s="579">
        <f t="shared" si="43"/>
        <v>3131</v>
      </c>
      <c r="J225" s="580">
        <f t="shared" si="43"/>
        <v>0</v>
      </c>
      <c r="K225" s="1527">
        <f t="shared" si="33"/>
        <v>1</v>
      </c>
      <c r="L225" s="1361" t="s">
        <v>1662</v>
      </c>
    </row>
    <row r="226" spans="1:26" ht="18.75" customHeight="1">
      <c r="A226" s="9">
        <v>230</v>
      </c>
      <c r="B226" s="1228"/>
      <c r="C226" s="1202">
        <v>1981</v>
      </c>
      <c r="D226" s="1229" t="s">
        <v>1599</v>
      </c>
      <c r="E226" s="622">
        <f t="shared" si="43"/>
        <v>45000</v>
      </c>
      <c r="F226" s="630">
        <f t="shared" si="43"/>
        <v>36608</v>
      </c>
      <c r="G226" s="584">
        <f t="shared" si="43"/>
        <v>32121</v>
      </c>
      <c r="H226" s="585">
        <f t="shared" si="43"/>
        <v>0</v>
      </c>
      <c r="I226" s="585">
        <f t="shared" si="43"/>
        <v>4487</v>
      </c>
      <c r="J226" s="586">
        <f t="shared" si="43"/>
        <v>0</v>
      </c>
      <c r="K226" s="1527">
        <f t="shared" si="33"/>
        <v>1</v>
      </c>
      <c r="L226" s="1361" t="s">
        <v>1657</v>
      </c>
      <c r="N226" s="352"/>
      <c r="O226" s="352"/>
      <c r="P226" s="352"/>
      <c r="Q226" s="352"/>
      <c r="R226" s="352"/>
      <c r="S226" s="352"/>
      <c r="T226" s="352"/>
      <c r="U226" s="352"/>
      <c r="V226" s="352"/>
      <c r="W226" s="352"/>
      <c r="X226" s="352"/>
      <c r="Y226" s="352"/>
      <c r="Z226" s="352"/>
    </row>
    <row r="227" spans="1:12" ht="18.75" customHeight="1">
      <c r="A227" s="9">
        <v>245</v>
      </c>
      <c r="B227" s="1201"/>
      <c r="C227" s="1198">
        <v>1991</v>
      </c>
      <c r="D227" s="1230" t="s">
        <v>1600</v>
      </c>
      <c r="E227" s="626">
        <f t="shared" si="43"/>
        <v>0</v>
      </c>
      <c r="F227" s="629">
        <f t="shared" si="43"/>
        <v>0</v>
      </c>
      <c r="G227" s="581">
        <f t="shared" si="43"/>
        <v>0</v>
      </c>
      <c r="H227" s="582">
        <f t="shared" si="43"/>
        <v>0</v>
      </c>
      <c r="I227" s="582">
        <f t="shared" si="43"/>
        <v>0</v>
      </c>
      <c r="J227" s="583">
        <f t="shared" si="43"/>
        <v>0</v>
      </c>
      <c r="K227" s="1527">
        <f t="shared" si="33"/>
      </c>
      <c r="L227" s="1361" t="s">
        <v>1663</v>
      </c>
    </row>
    <row r="228" spans="1:26" s="352" customFormat="1" ht="18.75" customHeight="1">
      <c r="A228" s="8">
        <v>220</v>
      </c>
      <c r="B228" s="1194">
        <v>2100</v>
      </c>
      <c r="C228" s="2217" t="s">
        <v>1016</v>
      </c>
      <c r="D228" s="2217"/>
      <c r="E228" s="463">
        <f aca="true" t="shared" si="44" ref="E228:J228">SUMIF($B$609:$B$12278,$B228,E$609:E$12278)</f>
        <v>0</v>
      </c>
      <c r="F228" s="464">
        <f t="shared" si="44"/>
        <v>0</v>
      </c>
      <c r="G228" s="575">
        <f t="shared" si="44"/>
        <v>0</v>
      </c>
      <c r="H228" s="576">
        <f t="shared" si="44"/>
        <v>0</v>
      </c>
      <c r="I228" s="576">
        <f t="shared" si="44"/>
        <v>0</v>
      </c>
      <c r="J228" s="577">
        <f t="shared" si="44"/>
        <v>0</v>
      </c>
      <c r="K228" s="1527">
        <f t="shared" si="33"/>
      </c>
      <c r="L228" s="1361" t="s">
        <v>1659</v>
      </c>
      <c r="M228" s="2017"/>
      <c r="N228" s="350"/>
      <c r="O228" s="350"/>
      <c r="P228" s="350"/>
      <c r="Q228" s="350"/>
      <c r="R228" s="350"/>
      <c r="S228" s="350"/>
      <c r="T228" s="350"/>
      <c r="U228" s="350"/>
      <c r="V228" s="350"/>
      <c r="W228" s="350"/>
      <c r="X228" s="350"/>
      <c r="Y228" s="350"/>
      <c r="Z228" s="350"/>
    </row>
    <row r="229" spans="1:12" ht="18.75" customHeight="1">
      <c r="A229" s="9">
        <v>225</v>
      </c>
      <c r="B229" s="1201"/>
      <c r="C229" s="1196">
        <v>2110</v>
      </c>
      <c r="D229" s="1231" t="s">
        <v>856</v>
      </c>
      <c r="E229" s="620">
        <f aca="true" t="shared" si="45" ref="E229:J233">SUMIF($C$609:$C$12278,$C229,E$609:E$12278)</f>
        <v>0</v>
      </c>
      <c r="F229" s="628">
        <f t="shared" si="45"/>
        <v>0</v>
      </c>
      <c r="G229" s="578">
        <f t="shared" si="45"/>
        <v>0</v>
      </c>
      <c r="H229" s="579">
        <f t="shared" si="45"/>
        <v>0</v>
      </c>
      <c r="I229" s="579">
        <f t="shared" si="45"/>
        <v>0</v>
      </c>
      <c r="J229" s="580">
        <f t="shared" si="45"/>
        <v>0</v>
      </c>
      <c r="K229" s="1527">
        <f t="shared" si="33"/>
      </c>
      <c r="L229" s="1361" t="s">
        <v>1664</v>
      </c>
    </row>
    <row r="230" spans="1:26" ht="18.75" customHeight="1">
      <c r="A230" s="9">
        <v>230</v>
      </c>
      <c r="B230" s="1228"/>
      <c r="C230" s="1202">
        <v>2120</v>
      </c>
      <c r="D230" s="1205" t="s">
        <v>857</v>
      </c>
      <c r="E230" s="622">
        <f t="shared" si="45"/>
        <v>0</v>
      </c>
      <c r="F230" s="630">
        <f t="shared" si="45"/>
        <v>0</v>
      </c>
      <c r="G230" s="584">
        <f t="shared" si="45"/>
        <v>0</v>
      </c>
      <c r="H230" s="585">
        <f t="shared" si="45"/>
        <v>0</v>
      </c>
      <c r="I230" s="585">
        <f t="shared" si="45"/>
        <v>0</v>
      </c>
      <c r="J230" s="586">
        <f t="shared" si="45"/>
        <v>0</v>
      </c>
      <c r="K230" s="1527">
        <f t="shared" si="33"/>
      </c>
      <c r="L230" s="1361"/>
      <c r="N230" s="352"/>
      <c r="O230" s="352"/>
      <c r="P230" s="352"/>
      <c r="Q230" s="352"/>
      <c r="R230" s="352"/>
      <c r="S230" s="352"/>
      <c r="T230" s="352"/>
      <c r="U230" s="352"/>
      <c r="V230" s="352"/>
      <c r="W230" s="352"/>
      <c r="X230" s="352"/>
      <c r="Y230" s="352"/>
      <c r="Z230" s="352"/>
    </row>
    <row r="231" spans="1:12" ht="18.75" customHeight="1">
      <c r="A231" s="9">
        <v>235</v>
      </c>
      <c r="B231" s="1228"/>
      <c r="C231" s="1202">
        <v>2125</v>
      </c>
      <c r="D231" s="1205" t="s">
        <v>858</v>
      </c>
      <c r="E231" s="622">
        <f t="shared" si="45"/>
        <v>0</v>
      </c>
      <c r="F231" s="630">
        <f t="shared" si="45"/>
        <v>0</v>
      </c>
      <c r="G231" s="584">
        <f t="shared" si="45"/>
        <v>0</v>
      </c>
      <c r="H231" s="585">
        <f t="shared" si="45"/>
        <v>0</v>
      </c>
      <c r="I231" s="585">
        <f t="shared" si="45"/>
        <v>0</v>
      </c>
      <c r="J231" s="586">
        <f t="shared" si="45"/>
        <v>0</v>
      </c>
      <c r="K231" s="1527">
        <f t="shared" si="33"/>
      </c>
      <c r="L231" s="1361" t="s">
        <v>1665</v>
      </c>
    </row>
    <row r="232" spans="1:12" ht="18.75" customHeight="1">
      <c r="A232" s="9">
        <v>240</v>
      </c>
      <c r="B232" s="1200"/>
      <c r="C232" s="1202">
        <v>2140</v>
      </c>
      <c r="D232" s="1205" t="s">
        <v>859</v>
      </c>
      <c r="E232" s="622">
        <f t="shared" si="45"/>
        <v>0</v>
      </c>
      <c r="F232" s="630">
        <f t="shared" si="45"/>
        <v>0</v>
      </c>
      <c r="G232" s="584">
        <f t="shared" si="45"/>
        <v>0</v>
      </c>
      <c r="H232" s="585">
        <f t="shared" si="45"/>
        <v>0</v>
      </c>
      <c r="I232" s="585">
        <f t="shared" si="45"/>
        <v>0</v>
      </c>
      <c r="J232" s="586">
        <f t="shared" si="45"/>
        <v>0</v>
      </c>
      <c r="K232" s="1527">
        <f t="shared" si="33"/>
      </c>
      <c r="L232" s="1361" t="s">
        <v>1657</v>
      </c>
    </row>
    <row r="233" spans="1:12" ht="18.75" customHeight="1">
      <c r="A233" s="9">
        <v>245</v>
      </c>
      <c r="B233" s="1201"/>
      <c r="C233" s="1198">
        <v>2190</v>
      </c>
      <c r="D233" s="1232" t="s">
        <v>860</v>
      </c>
      <c r="E233" s="626">
        <f t="shared" si="45"/>
        <v>0</v>
      </c>
      <c r="F233" s="629">
        <f t="shared" si="45"/>
        <v>0</v>
      </c>
      <c r="G233" s="581">
        <f t="shared" si="45"/>
        <v>0</v>
      </c>
      <c r="H233" s="582">
        <f t="shared" si="45"/>
        <v>0</v>
      </c>
      <c r="I233" s="582">
        <f t="shared" si="45"/>
        <v>0</v>
      </c>
      <c r="J233" s="583">
        <f t="shared" si="45"/>
        <v>0</v>
      </c>
      <c r="K233" s="1527">
        <f t="shared" si="33"/>
      </c>
      <c r="L233" s="1361"/>
    </row>
    <row r="234" spans="1:26" s="352" customFormat="1" ht="18.75" customHeight="1">
      <c r="A234" s="8">
        <v>250</v>
      </c>
      <c r="B234" s="1194">
        <v>2200</v>
      </c>
      <c r="C234" s="2217" t="s">
        <v>861</v>
      </c>
      <c r="D234" s="2217"/>
      <c r="E234" s="463">
        <f aca="true" t="shared" si="46" ref="E234:J234">SUMIF($B$609:$B$12278,$B234,E$609:E$12278)</f>
        <v>0</v>
      </c>
      <c r="F234" s="464">
        <f t="shared" si="46"/>
        <v>0</v>
      </c>
      <c r="G234" s="575">
        <f t="shared" si="46"/>
        <v>0</v>
      </c>
      <c r="H234" s="576">
        <f t="shared" si="46"/>
        <v>0</v>
      </c>
      <c r="I234" s="576">
        <f t="shared" si="46"/>
        <v>0</v>
      </c>
      <c r="J234" s="577">
        <f t="shared" si="46"/>
        <v>0</v>
      </c>
      <c r="K234" s="1527">
        <f t="shared" si="33"/>
      </c>
      <c r="L234" s="1361" t="s">
        <v>1654</v>
      </c>
      <c r="M234" s="2017"/>
      <c r="N234" s="350"/>
      <c r="O234" s="350"/>
      <c r="P234" s="350"/>
      <c r="Q234" s="350"/>
      <c r="R234" s="350"/>
      <c r="S234" s="350"/>
      <c r="T234" s="350"/>
      <c r="U234" s="350"/>
      <c r="V234" s="350"/>
      <c r="W234" s="350"/>
      <c r="X234" s="350"/>
      <c r="Y234" s="350"/>
      <c r="Z234" s="350"/>
    </row>
    <row r="235" spans="1:12" ht="18.75" customHeight="1">
      <c r="A235" s="9">
        <v>255</v>
      </c>
      <c r="B235" s="1201"/>
      <c r="C235" s="1196">
        <v>2221</v>
      </c>
      <c r="D235" s="1197" t="s">
        <v>1033</v>
      </c>
      <c r="E235" s="620">
        <f aca="true" t="shared" si="47" ref="E235:J236">SUMIF($C$609:$C$12278,$C235,E$609:E$12278)</f>
        <v>0</v>
      </c>
      <c r="F235" s="628">
        <f t="shared" si="47"/>
        <v>0</v>
      </c>
      <c r="G235" s="578">
        <f t="shared" si="47"/>
        <v>0</v>
      </c>
      <c r="H235" s="579">
        <f t="shared" si="47"/>
        <v>0</v>
      </c>
      <c r="I235" s="579">
        <f t="shared" si="47"/>
        <v>0</v>
      </c>
      <c r="J235" s="580">
        <f t="shared" si="47"/>
        <v>0</v>
      </c>
      <c r="K235" s="1527">
        <f t="shared" si="33"/>
      </c>
      <c r="L235" s="1361" t="s">
        <v>1657</v>
      </c>
    </row>
    <row r="236" spans="1:12" ht="18.75" customHeight="1">
      <c r="A236" s="9">
        <v>265</v>
      </c>
      <c r="B236" s="1201"/>
      <c r="C236" s="1198">
        <v>2224</v>
      </c>
      <c r="D236" s="1199" t="s">
        <v>862</v>
      </c>
      <c r="E236" s="626">
        <f t="shared" si="47"/>
        <v>0</v>
      </c>
      <c r="F236" s="629">
        <f t="shared" si="47"/>
        <v>0</v>
      </c>
      <c r="G236" s="581">
        <f t="shared" si="47"/>
        <v>0</v>
      </c>
      <c r="H236" s="582">
        <f t="shared" si="47"/>
        <v>0</v>
      </c>
      <c r="I236" s="582">
        <f t="shared" si="47"/>
        <v>0</v>
      </c>
      <c r="J236" s="583">
        <f t="shared" si="47"/>
        <v>0</v>
      </c>
      <c r="K236" s="1527">
        <f t="shared" si="33"/>
      </c>
      <c r="L236" s="1361" t="s">
        <v>1667</v>
      </c>
    </row>
    <row r="237" spans="1:26" s="352" customFormat="1" ht="18.75" customHeight="1">
      <c r="A237" s="8">
        <v>270</v>
      </c>
      <c r="B237" s="1194">
        <v>2500</v>
      </c>
      <c r="C237" s="2217" t="s">
        <v>863</v>
      </c>
      <c r="D237" s="2224"/>
      <c r="E237" s="463">
        <f aca="true" t="shared" si="48" ref="E237:J241">SUMIF($B$609:$B$12278,$B237,E$609:E$12278)</f>
        <v>0</v>
      </c>
      <c r="F237" s="464">
        <f t="shared" si="48"/>
        <v>0</v>
      </c>
      <c r="G237" s="575">
        <f t="shared" si="48"/>
        <v>0</v>
      </c>
      <c r="H237" s="576">
        <f t="shared" si="48"/>
        <v>0</v>
      </c>
      <c r="I237" s="576">
        <f t="shared" si="48"/>
        <v>0</v>
      </c>
      <c r="J237" s="577">
        <f t="shared" si="48"/>
        <v>0</v>
      </c>
      <c r="K237" s="1527">
        <f t="shared" si="33"/>
      </c>
      <c r="L237" s="1361" t="s">
        <v>1669</v>
      </c>
      <c r="M237" s="2017"/>
      <c r="N237" s="350"/>
      <c r="O237" s="350"/>
      <c r="P237" s="350"/>
      <c r="Q237" s="350"/>
      <c r="R237" s="350"/>
      <c r="S237" s="350"/>
      <c r="T237" s="350"/>
      <c r="U237" s="350"/>
      <c r="V237" s="350"/>
      <c r="W237" s="350"/>
      <c r="X237" s="350"/>
      <c r="Y237" s="350"/>
      <c r="Z237" s="350"/>
    </row>
    <row r="238" spans="1:26" s="352" customFormat="1" ht="18.75" customHeight="1">
      <c r="A238" s="8">
        <v>290</v>
      </c>
      <c r="B238" s="1194">
        <v>2600</v>
      </c>
      <c r="C238" s="2222" t="s">
        <v>864</v>
      </c>
      <c r="D238" s="2223"/>
      <c r="E238" s="463">
        <f t="shared" si="48"/>
        <v>0</v>
      </c>
      <c r="F238" s="464">
        <f t="shared" si="48"/>
        <v>0</v>
      </c>
      <c r="G238" s="575">
        <f t="shared" si="48"/>
        <v>0</v>
      </c>
      <c r="H238" s="576">
        <f t="shared" si="48"/>
        <v>0</v>
      </c>
      <c r="I238" s="576">
        <f t="shared" si="48"/>
        <v>0</v>
      </c>
      <c r="J238" s="577">
        <f t="shared" si="48"/>
        <v>0</v>
      </c>
      <c r="K238" s="1527">
        <f t="shared" si="33"/>
      </c>
      <c r="L238" s="1361" t="s">
        <v>1666</v>
      </c>
      <c r="M238" s="2017"/>
      <c r="N238" s="350"/>
      <c r="O238" s="350"/>
      <c r="P238" s="350"/>
      <c r="Q238" s="350"/>
      <c r="R238" s="350"/>
      <c r="S238" s="350"/>
      <c r="T238" s="350"/>
      <c r="U238" s="350"/>
      <c r="V238" s="350"/>
      <c r="W238" s="350"/>
      <c r="X238" s="350"/>
      <c r="Y238" s="350"/>
      <c r="Z238" s="350"/>
    </row>
    <row r="239" spans="1:13" s="352" customFormat="1" ht="18.75" customHeight="1">
      <c r="A239" s="17">
        <v>320</v>
      </c>
      <c r="B239" s="1194">
        <v>2700</v>
      </c>
      <c r="C239" s="2222" t="s">
        <v>865</v>
      </c>
      <c r="D239" s="2223"/>
      <c r="E239" s="463">
        <f t="shared" si="48"/>
        <v>0</v>
      </c>
      <c r="F239" s="464">
        <f t="shared" si="48"/>
        <v>0</v>
      </c>
      <c r="G239" s="575">
        <f t="shared" si="48"/>
        <v>0</v>
      </c>
      <c r="H239" s="576">
        <f t="shared" si="48"/>
        <v>0</v>
      </c>
      <c r="I239" s="576">
        <f t="shared" si="48"/>
        <v>0</v>
      </c>
      <c r="J239" s="577">
        <f t="shared" si="48"/>
        <v>0</v>
      </c>
      <c r="K239" s="1527">
        <f t="shared" si="33"/>
      </c>
      <c r="L239" s="1361" t="s">
        <v>1670</v>
      </c>
      <c r="M239" s="2017"/>
    </row>
    <row r="240" spans="1:13" s="352" customFormat="1" ht="35.25" customHeight="1">
      <c r="A240" s="8">
        <v>330</v>
      </c>
      <c r="B240" s="1194">
        <v>2800</v>
      </c>
      <c r="C240" s="2222" t="s">
        <v>143</v>
      </c>
      <c r="D240" s="2223"/>
      <c r="E240" s="463">
        <f t="shared" si="48"/>
        <v>0</v>
      </c>
      <c r="F240" s="464">
        <f t="shared" si="48"/>
        <v>0</v>
      </c>
      <c r="G240" s="575">
        <f t="shared" si="48"/>
        <v>0</v>
      </c>
      <c r="H240" s="576">
        <f t="shared" si="48"/>
        <v>0</v>
      </c>
      <c r="I240" s="576">
        <f t="shared" si="48"/>
        <v>0</v>
      </c>
      <c r="J240" s="577">
        <f t="shared" si="48"/>
        <v>0</v>
      </c>
      <c r="K240" s="1527">
        <f t="shared" si="33"/>
      </c>
      <c r="L240" s="1362" t="s">
        <v>1659</v>
      </c>
      <c r="M240" s="2017"/>
    </row>
    <row r="241" spans="1:13" s="352" customFormat="1" ht="18.75" customHeight="1">
      <c r="A241" s="8">
        <v>350</v>
      </c>
      <c r="B241" s="1194">
        <v>2900</v>
      </c>
      <c r="C241" s="2217" t="s">
        <v>866</v>
      </c>
      <c r="D241" s="2217"/>
      <c r="E241" s="463">
        <f t="shared" si="48"/>
        <v>0</v>
      </c>
      <c r="F241" s="464">
        <f t="shared" si="48"/>
        <v>0</v>
      </c>
      <c r="G241" s="575">
        <f t="shared" si="48"/>
        <v>0</v>
      </c>
      <c r="H241" s="576">
        <f t="shared" si="48"/>
        <v>0</v>
      </c>
      <c r="I241" s="576">
        <f t="shared" si="48"/>
        <v>0</v>
      </c>
      <c r="J241" s="577">
        <f t="shared" si="48"/>
        <v>0</v>
      </c>
      <c r="K241" s="1527">
        <f t="shared" si="33"/>
      </c>
      <c r="L241" s="1361"/>
      <c r="M241" s="2017"/>
    </row>
    <row r="242" spans="1:26" ht="18.75" customHeight="1">
      <c r="A242" s="9">
        <v>355</v>
      </c>
      <c r="B242" s="1233"/>
      <c r="C242" s="1196">
        <v>2910</v>
      </c>
      <c r="D242" s="1234" t="s">
        <v>2110</v>
      </c>
      <c r="E242" s="620">
        <f aca="true" t="shared" si="49" ref="E242:J249">SUMIF($C$609:$C$12278,$C242,E$609:E$12278)</f>
        <v>0</v>
      </c>
      <c r="F242" s="628">
        <f t="shared" si="49"/>
        <v>0</v>
      </c>
      <c r="G242" s="578">
        <f t="shared" si="49"/>
        <v>0</v>
      </c>
      <c r="H242" s="579">
        <f t="shared" si="49"/>
        <v>0</v>
      </c>
      <c r="I242" s="579">
        <f t="shared" si="49"/>
        <v>0</v>
      </c>
      <c r="J242" s="580">
        <f t="shared" si="49"/>
        <v>0</v>
      </c>
      <c r="K242" s="1527">
        <f t="shared" si="33"/>
      </c>
      <c r="L242" s="1361"/>
      <c r="N242" s="352"/>
      <c r="O242" s="352"/>
      <c r="P242" s="352"/>
      <c r="Q242" s="352"/>
      <c r="R242" s="352"/>
      <c r="S242" s="352"/>
      <c r="T242" s="352"/>
      <c r="U242" s="352"/>
      <c r="V242" s="352"/>
      <c r="W242" s="352"/>
      <c r="X242" s="352"/>
      <c r="Y242" s="352"/>
      <c r="Z242" s="352"/>
    </row>
    <row r="243" spans="1:26" ht="15.75">
      <c r="A243" s="9">
        <v>375</v>
      </c>
      <c r="B243" s="1233"/>
      <c r="C243" s="1220">
        <v>2920</v>
      </c>
      <c r="D243" s="1235" t="s">
        <v>2109</v>
      </c>
      <c r="E243" s="634">
        <f t="shared" si="49"/>
        <v>0</v>
      </c>
      <c r="F243" s="635">
        <f t="shared" si="49"/>
        <v>0</v>
      </c>
      <c r="G243" s="593">
        <f t="shared" si="49"/>
        <v>0</v>
      </c>
      <c r="H243" s="594">
        <f t="shared" si="49"/>
        <v>0</v>
      </c>
      <c r="I243" s="594">
        <f t="shared" si="49"/>
        <v>0</v>
      </c>
      <c r="J243" s="595">
        <f t="shared" si="49"/>
        <v>0</v>
      </c>
      <c r="K243" s="1527">
        <f t="shared" si="33"/>
      </c>
      <c r="L243" s="1361"/>
      <c r="N243" s="352"/>
      <c r="O243" s="352"/>
      <c r="P243" s="352"/>
      <c r="Q243" s="352"/>
      <c r="R243" s="352"/>
      <c r="S243" s="352"/>
      <c r="T243" s="352"/>
      <c r="U243" s="352"/>
      <c r="V243" s="352"/>
      <c r="W243" s="352"/>
      <c r="X243" s="352"/>
      <c r="Y243" s="352"/>
      <c r="Z243" s="352"/>
    </row>
    <row r="244" spans="1:26" ht="31.5">
      <c r="A244" s="9">
        <v>375</v>
      </c>
      <c r="B244" s="1233"/>
      <c r="C244" s="1220">
        <v>2969</v>
      </c>
      <c r="D244" s="1235" t="s">
        <v>867</v>
      </c>
      <c r="E244" s="634">
        <f t="shared" si="49"/>
        <v>0</v>
      </c>
      <c r="F244" s="635">
        <f t="shared" si="49"/>
        <v>0</v>
      </c>
      <c r="G244" s="593">
        <f t="shared" si="49"/>
        <v>0</v>
      </c>
      <c r="H244" s="594">
        <f t="shared" si="49"/>
        <v>0</v>
      </c>
      <c r="I244" s="594">
        <f t="shared" si="49"/>
        <v>0</v>
      </c>
      <c r="J244" s="595">
        <f t="shared" si="49"/>
        <v>0</v>
      </c>
      <c r="K244" s="1527">
        <f t="shared" si="33"/>
      </c>
      <c r="L244" s="1361"/>
      <c r="N244" s="352"/>
      <c r="O244" s="352"/>
      <c r="P244" s="352"/>
      <c r="Q244" s="352"/>
      <c r="R244" s="352"/>
      <c r="S244" s="352"/>
      <c r="T244" s="352"/>
      <c r="U244" s="352"/>
      <c r="V244" s="352"/>
      <c r="W244" s="352"/>
      <c r="X244" s="352"/>
      <c r="Y244" s="352"/>
      <c r="Z244" s="352"/>
    </row>
    <row r="245" spans="1:12" ht="31.5">
      <c r="A245" s="9">
        <v>380</v>
      </c>
      <c r="B245" s="1233"/>
      <c r="C245" s="1236">
        <v>2970</v>
      </c>
      <c r="D245" s="1237" t="s">
        <v>868</v>
      </c>
      <c r="E245" s="638">
        <f t="shared" si="49"/>
        <v>0</v>
      </c>
      <c r="F245" s="639">
        <f t="shared" si="49"/>
        <v>0</v>
      </c>
      <c r="G245" s="599">
        <f t="shared" si="49"/>
        <v>0</v>
      </c>
      <c r="H245" s="600">
        <f t="shared" si="49"/>
        <v>0</v>
      </c>
      <c r="I245" s="600">
        <f t="shared" si="49"/>
        <v>0</v>
      </c>
      <c r="J245" s="601">
        <f t="shared" si="49"/>
        <v>0</v>
      </c>
      <c r="K245" s="1527">
        <f t="shared" si="33"/>
      </c>
      <c r="L245" s="1362"/>
    </row>
    <row r="246" spans="1:12" ht="18.75" customHeight="1">
      <c r="A246" s="9">
        <v>385</v>
      </c>
      <c r="B246" s="1233"/>
      <c r="C246" s="1224">
        <v>2989</v>
      </c>
      <c r="D246" s="1238" t="s">
        <v>869</v>
      </c>
      <c r="E246" s="636">
        <f t="shared" si="49"/>
        <v>0</v>
      </c>
      <c r="F246" s="637">
        <f t="shared" si="49"/>
        <v>0</v>
      </c>
      <c r="G246" s="596">
        <f t="shared" si="49"/>
        <v>0</v>
      </c>
      <c r="H246" s="597">
        <f t="shared" si="49"/>
        <v>0</v>
      </c>
      <c r="I246" s="597">
        <f t="shared" si="49"/>
        <v>0</v>
      </c>
      <c r="J246" s="598">
        <f t="shared" si="49"/>
        <v>0</v>
      </c>
      <c r="K246" s="1527">
        <f t="shared" si="33"/>
      </c>
      <c r="L246" s="1361"/>
    </row>
    <row r="247" spans="1:12" ht="31.5">
      <c r="A247" s="9">
        <v>390</v>
      </c>
      <c r="B247" s="1201"/>
      <c r="C247" s="1218">
        <v>2990</v>
      </c>
      <c r="D247" s="1239" t="s">
        <v>2111</v>
      </c>
      <c r="E247" s="632">
        <f t="shared" si="49"/>
        <v>0</v>
      </c>
      <c r="F247" s="633">
        <f t="shared" si="49"/>
        <v>0</v>
      </c>
      <c r="G247" s="590">
        <f t="shared" si="49"/>
        <v>0</v>
      </c>
      <c r="H247" s="591">
        <f t="shared" si="49"/>
        <v>0</v>
      </c>
      <c r="I247" s="591">
        <f t="shared" si="49"/>
        <v>0</v>
      </c>
      <c r="J247" s="592">
        <f t="shared" si="49"/>
        <v>0</v>
      </c>
      <c r="K247" s="1527">
        <f t="shared" si="33"/>
      </c>
      <c r="L247" s="1361"/>
    </row>
    <row r="248" spans="1:12" ht="18.75" customHeight="1">
      <c r="A248" s="9">
        <v>390</v>
      </c>
      <c r="B248" s="1201"/>
      <c r="C248" s="1218">
        <v>2991</v>
      </c>
      <c r="D248" s="1239" t="s">
        <v>870</v>
      </c>
      <c r="E248" s="632">
        <f t="shared" si="49"/>
        <v>0</v>
      </c>
      <c r="F248" s="633">
        <f t="shared" si="49"/>
        <v>0</v>
      </c>
      <c r="G248" s="590">
        <f t="shared" si="49"/>
        <v>0</v>
      </c>
      <c r="H248" s="591">
        <f t="shared" si="49"/>
        <v>0</v>
      </c>
      <c r="I248" s="591">
        <f t="shared" si="49"/>
        <v>0</v>
      </c>
      <c r="J248" s="592">
        <f t="shared" si="49"/>
        <v>0</v>
      </c>
      <c r="K248" s="1527">
        <f t="shared" si="33"/>
      </c>
      <c r="L248" s="1361"/>
    </row>
    <row r="249" spans="1:12" ht="18.75" customHeight="1">
      <c r="A249" s="9">
        <v>395</v>
      </c>
      <c r="B249" s="1201"/>
      <c r="C249" s="1198">
        <v>2992</v>
      </c>
      <c r="D249" s="1240" t="s">
        <v>871</v>
      </c>
      <c r="E249" s="626">
        <f t="shared" si="49"/>
        <v>0</v>
      </c>
      <c r="F249" s="629">
        <f t="shared" si="49"/>
        <v>0</v>
      </c>
      <c r="G249" s="581">
        <f t="shared" si="49"/>
        <v>0</v>
      </c>
      <c r="H249" s="582">
        <f t="shared" si="49"/>
        <v>0</v>
      </c>
      <c r="I249" s="582">
        <f t="shared" si="49"/>
        <v>0</v>
      </c>
      <c r="J249" s="583">
        <f t="shared" si="49"/>
        <v>0</v>
      </c>
      <c r="K249" s="1527">
        <f t="shared" si="33"/>
      </c>
      <c r="L249" s="1361"/>
    </row>
    <row r="250" spans="1:26" s="352" customFormat="1" ht="18.75" customHeight="1">
      <c r="A250" s="465">
        <v>397</v>
      </c>
      <c r="B250" s="1194">
        <v>3300</v>
      </c>
      <c r="C250" s="1241" t="s">
        <v>872</v>
      </c>
      <c r="D250" s="1358"/>
      <c r="E250" s="463">
        <f aca="true" t="shared" si="50" ref="E250:J250">SUMIF($B$609:$B$12278,$B250,E$609:E$12278)</f>
        <v>0</v>
      </c>
      <c r="F250" s="464">
        <f t="shared" si="50"/>
        <v>0</v>
      </c>
      <c r="G250" s="575">
        <f t="shared" si="50"/>
        <v>0</v>
      </c>
      <c r="H250" s="576">
        <f t="shared" si="50"/>
        <v>0</v>
      </c>
      <c r="I250" s="576">
        <f t="shared" si="50"/>
        <v>0</v>
      </c>
      <c r="J250" s="577">
        <f t="shared" si="50"/>
        <v>0</v>
      </c>
      <c r="K250" s="1527">
        <f t="shared" si="33"/>
      </c>
      <c r="L250" s="1361" t="s">
        <v>1654</v>
      </c>
      <c r="M250" s="2017"/>
      <c r="N250" s="350"/>
      <c r="O250" s="350"/>
      <c r="P250" s="350"/>
      <c r="Q250" s="350"/>
      <c r="R250" s="350"/>
      <c r="S250" s="350"/>
      <c r="T250" s="350"/>
      <c r="U250" s="350"/>
      <c r="V250" s="350"/>
      <c r="W250" s="350"/>
      <c r="X250" s="350"/>
      <c r="Y250" s="350"/>
      <c r="Z250" s="350"/>
    </row>
    <row r="251" spans="1:12" ht="18.75" customHeight="1">
      <c r="A251" s="7">
        <v>398</v>
      </c>
      <c r="B251" s="1200"/>
      <c r="C251" s="1196">
        <v>3301</v>
      </c>
      <c r="D251" s="1242" t="s">
        <v>873</v>
      </c>
      <c r="E251" s="620">
        <f aca="true" t="shared" si="51" ref="E251:J256">SUMIF($C$609:$C$12278,$C251,E$609:E$12278)</f>
        <v>0</v>
      </c>
      <c r="F251" s="628">
        <f t="shared" si="51"/>
        <v>0</v>
      </c>
      <c r="G251" s="578">
        <f t="shared" si="51"/>
        <v>0</v>
      </c>
      <c r="H251" s="579">
        <f t="shared" si="51"/>
        <v>0</v>
      </c>
      <c r="I251" s="579">
        <f t="shared" si="51"/>
        <v>0</v>
      </c>
      <c r="J251" s="580">
        <f t="shared" si="51"/>
        <v>0</v>
      </c>
      <c r="K251" s="1527">
        <f t="shared" si="33"/>
      </c>
      <c r="L251" s="1361" t="s">
        <v>1655</v>
      </c>
    </row>
    <row r="252" spans="1:26" ht="18.75" customHeight="1">
      <c r="A252" s="7">
        <v>399</v>
      </c>
      <c r="B252" s="1200"/>
      <c r="C252" s="1202">
        <v>3302</v>
      </c>
      <c r="D252" s="1243" t="s">
        <v>1363</v>
      </c>
      <c r="E252" s="622">
        <f t="shared" si="51"/>
        <v>0</v>
      </c>
      <c r="F252" s="630">
        <f t="shared" si="51"/>
        <v>0</v>
      </c>
      <c r="G252" s="584">
        <f t="shared" si="51"/>
        <v>0</v>
      </c>
      <c r="H252" s="585">
        <f t="shared" si="51"/>
        <v>0</v>
      </c>
      <c r="I252" s="585">
        <f t="shared" si="51"/>
        <v>0</v>
      </c>
      <c r="J252" s="586">
        <f t="shared" si="51"/>
        <v>0</v>
      </c>
      <c r="K252" s="1527">
        <f t="shared" si="33"/>
      </c>
      <c r="L252" s="1361" t="s">
        <v>1656</v>
      </c>
      <c r="N252" s="352"/>
      <c r="O252" s="352"/>
      <c r="P252" s="352"/>
      <c r="Q252" s="352"/>
      <c r="R252" s="352"/>
      <c r="S252" s="352"/>
      <c r="T252" s="352"/>
      <c r="U252" s="352"/>
      <c r="V252" s="352"/>
      <c r="W252" s="352"/>
      <c r="X252" s="352"/>
      <c r="Y252" s="352"/>
      <c r="Z252" s="352"/>
    </row>
    <row r="253" spans="1:12" ht="18.75" customHeight="1">
      <c r="A253" s="7">
        <v>400</v>
      </c>
      <c r="B253" s="1200"/>
      <c r="C253" s="1202">
        <v>3303</v>
      </c>
      <c r="D253" s="1243" t="s">
        <v>874</v>
      </c>
      <c r="E253" s="622">
        <f t="shared" si="51"/>
        <v>0</v>
      </c>
      <c r="F253" s="630">
        <f t="shared" si="51"/>
        <v>0</v>
      </c>
      <c r="G253" s="584">
        <f t="shared" si="51"/>
        <v>0</v>
      </c>
      <c r="H253" s="585">
        <f t="shared" si="51"/>
        <v>0</v>
      </c>
      <c r="I253" s="585">
        <f t="shared" si="51"/>
        <v>0</v>
      </c>
      <c r="J253" s="586">
        <f t="shared" si="51"/>
        <v>0</v>
      </c>
      <c r="K253" s="1527">
        <f t="shared" si="33"/>
      </c>
      <c r="L253" s="1361" t="s">
        <v>1657</v>
      </c>
    </row>
    <row r="254" spans="1:12" ht="18.75" customHeight="1">
      <c r="A254" s="7">
        <v>401</v>
      </c>
      <c r="B254" s="1200"/>
      <c r="C254" s="1202">
        <v>3304</v>
      </c>
      <c r="D254" s="1243" t="s">
        <v>875</v>
      </c>
      <c r="E254" s="622">
        <f t="shared" si="51"/>
        <v>0</v>
      </c>
      <c r="F254" s="630">
        <f t="shared" si="51"/>
        <v>0</v>
      </c>
      <c r="G254" s="584">
        <f t="shared" si="51"/>
        <v>0</v>
      </c>
      <c r="H254" s="585">
        <f t="shared" si="51"/>
        <v>0</v>
      </c>
      <c r="I254" s="585">
        <f t="shared" si="51"/>
        <v>0</v>
      </c>
      <c r="J254" s="586">
        <f t="shared" si="51"/>
        <v>0</v>
      </c>
      <c r="K254" s="1527">
        <f t="shared" si="33"/>
      </c>
      <c r="L254" s="1361" t="s">
        <v>1658</v>
      </c>
    </row>
    <row r="255" spans="1:12" ht="18.75" customHeight="1">
      <c r="A255" s="7">
        <v>402</v>
      </c>
      <c r="B255" s="1200"/>
      <c r="C255" s="1202">
        <v>3305</v>
      </c>
      <c r="D255" s="1243" t="s">
        <v>876</v>
      </c>
      <c r="E255" s="622">
        <f t="shared" si="51"/>
        <v>0</v>
      </c>
      <c r="F255" s="630">
        <f t="shared" si="51"/>
        <v>0</v>
      </c>
      <c r="G255" s="584">
        <f t="shared" si="51"/>
        <v>0</v>
      </c>
      <c r="H255" s="585">
        <f t="shared" si="51"/>
        <v>0</v>
      </c>
      <c r="I255" s="585">
        <f t="shared" si="51"/>
        <v>0</v>
      </c>
      <c r="J255" s="586">
        <f t="shared" si="51"/>
        <v>0</v>
      </c>
      <c r="K255" s="1527">
        <f t="shared" si="33"/>
      </c>
      <c r="L255" s="1361" t="s">
        <v>1659</v>
      </c>
    </row>
    <row r="256" spans="1:26" s="352" customFormat="1" ht="30">
      <c r="A256" s="18">
        <v>404</v>
      </c>
      <c r="B256" s="1200"/>
      <c r="C256" s="1198">
        <v>3306</v>
      </c>
      <c r="D256" s="1244" t="s">
        <v>144</v>
      </c>
      <c r="E256" s="626">
        <f t="shared" si="51"/>
        <v>0</v>
      </c>
      <c r="F256" s="629">
        <f t="shared" si="51"/>
        <v>0</v>
      </c>
      <c r="G256" s="581">
        <f t="shared" si="51"/>
        <v>0</v>
      </c>
      <c r="H256" s="582">
        <f t="shared" si="51"/>
        <v>0</v>
      </c>
      <c r="I256" s="582">
        <f t="shared" si="51"/>
        <v>0</v>
      </c>
      <c r="J256" s="583">
        <f t="shared" si="51"/>
        <v>0</v>
      </c>
      <c r="K256" s="1527">
        <f aca="true" t="shared" si="52" ref="K256:K302">(IF($E256&lt;&gt;0,$K$2,IF($F256&lt;&gt;0,$K$2,IF($G256&lt;&gt;0,$K$2,IF($H256&lt;&gt;0,$K$2,IF($I256&lt;&gt;0,$K$2,IF($J256&lt;&gt;0,$K$2,"")))))))</f>
      </c>
      <c r="L256" s="1361" t="s">
        <v>1660</v>
      </c>
      <c r="M256" s="2017"/>
      <c r="N256" s="350"/>
      <c r="O256" s="350"/>
      <c r="P256" s="350"/>
      <c r="Q256" s="350"/>
      <c r="R256" s="350"/>
      <c r="S256" s="350"/>
      <c r="T256" s="350"/>
      <c r="U256" s="350"/>
      <c r="V256" s="350"/>
      <c r="W256" s="350"/>
      <c r="X256" s="350"/>
      <c r="Y256" s="350"/>
      <c r="Z256" s="350"/>
    </row>
    <row r="257" spans="1:26" s="352" customFormat="1" ht="18.75" customHeight="1">
      <c r="A257" s="18">
        <v>404</v>
      </c>
      <c r="B257" s="1194">
        <v>3900</v>
      </c>
      <c r="C257" s="2217" t="s">
        <v>877</v>
      </c>
      <c r="D257" s="2217"/>
      <c r="E257" s="463">
        <f aca="true" t="shared" si="53" ref="E257:J260">SUMIF($B$609:$B$12278,$B257,E$609:E$12278)</f>
        <v>0</v>
      </c>
      <c r="F257" s="464">
        <f t="shared" si="53"/>
        <v>0</v>
      </c>
      <c r="G257" s="575">
        <f t="shared" si="53"/>
        <v>0</v>
      </c>
      <c r="H257" s="576">
        <f t="shared" si="53"/>
        <v>0</v>
      </c>
      <c r="I257" s="576">
        <f t="shared" si="53"/>
        <v>0</v>
      </c>
      <c r="J257" s="577">
        <f t="shared" si="53"/>
        <v>0</v>
      </c>
      <c r="K257" s="1527">
        <f t="shared" si="52"/>
      </c>
      <c r="L257" s="1361" t="s">
        <v>1661</v>
      </c>
      <c r="M257" s="2017"/>
      <c r="N257" s="350"/>
      <c r="O257" s="350"/>
      <c r="P257" s="350"/>
      <c r="Q257" s="350"/>
      <c r="R257" s="350"/>
      <c r="S257" s="350"/>
      <c r="T257" s="350"/>
      <c r="U257" s="350"/>
      <c r="V257" s="350"/>
      <c r="W257" s="350"/>
      <c r="X257" s="350"/>
      <c r="Y257" s="350"/>
      <c r="Z257" s="350"/>
    </row>
    <row r="258" spans="1:13" s="352" customFormat="1" ht="18.75" customHeight="1">
      <c r="A258" s="8">
        <v>440</v>
      </c>
      <c r="B258" s="1194">
        <v>4000</v>
      </c>
      <c r="C258" s="2217" t="s">
        <v>878</v>
      </c>
      <c r="D258" s="2217"/>
      <c r="E258" s="463">
        <f t="shared" si="53"/>
        <v>0</v>
      </c>
      <c r="F258" s="464">
        <f t="shared" si="53"/>
        <v>0</v>
      </c>
      <c r="G258" s="575">
        <f t="shared" si="53"/>
        <v>0</v>
      </c>
      <c r="H258" s="576">
        <f t="shared" si="53"/>
        <v>0</v>
      </c>
      <c r="I258" s="576">
        <f t="shared" si="53"/>
        <v>0</v>
      </c>
      <c r="J258" s="577">
        <f t="shared" si="53"/>
        <v>0</v>
      </c>
      <c r="K258" s="1527">
        <f t="shared" si="52"/>
      </c>
      <c r="L258" s="1361" t="s">
        <v>1662</v>
      </c>
      <c r="M258" s="2017"/>
    </row>
    <row r="259" spans="1:13" s="352" customFormat="1" ht="18.75" customHeight="1">
      <c r="A259" s="8">
        <v>450</v>
      </c>
      <c r="B259" s="1194">
        <v>4100</v>
      </c>
      <c r="C259" s="2217" t="s">
        <v>879</v>
      </c>
      <c r="D259" s="2217"/>
      <c r="E259" s="463">
        <f t="shared" si="53"/>
        <v>0</v>
      </c>
      <c r="F259" s="464">
        <f t="shared" si="53"/>
        <v>0</v>
      </c>
      <c r="G259" s="575">
        <f t="shared" si="53"/>
        <v>0</v>
      </c>
      <c r="H259" s="576">
        <f t="shared" si="53"/>
        <v>0</v>
      </c>
      <c r="I259" s="576">
        <f t="shared" si="53"/>
        <v>0</v>
      </c>
      <c r="J259" s="577">
        <f t="shared" si="53"/>
        <v>0</v>
      </c>
      <c r="K259" s="1527">
        <f t="shared" si="52"/>
      </c>
      <c r="L259" s="1361" t="s">
        <v>1657</v>
      </c>
      <c r="M259" s="2017"/>
    </row>
    <row r="260" spans="1:13" s="352" customFormat="1" ht="18.75" customHeight="1">
      <c r="A260" s="8">
        <v>495</v>
      </c>
      <c r="B260" s="1194">
        <v>4200</v>
      </c>
      <c r="C260" s="2217" t="s">
        <v>880</v>
      </c>
      <c r="D260" s="2217"/>
      <c r="E260" s="463">
        <f t="shared" si="53"/>
        <v>0</v>
      </c>
      <c r="F260" s="464">
        <f t="shared" si="53"/>
        <v>0</v>
      </c>
      <c r="G260" s="575">
        <f t="shared" si="53"/>
        <v>0</v>
      </c>
      <c r="H260" s="576">
        <f t="shared" si="53"/>
        <v>0</v>
      </c>
      <c r="I260" s="576">
        <f t="shared" si="53"/>
        <v>0</v>
      </c>
      <c r="J260" s="577">
        <f t="shared" si="53"/>
        <v>0</v>
      </c>
      <c r="K260" s="1527">
        <f t="shared" si="52"/>
      </c>
      <c r="L260" s="1361" t="s">
        <v>1663</v>
      </c>
      <c r="M260" s="2017"/>
    </row>
    <row r="261" spans="1:26" ht="18.75" customHeight="1">
      <c r="A261" s="9">
        <v>500</v>
      </c>
      <c r="B261" s="1245"/>
      <c r="C261" s="1196">
        <v>4201</v>
      </c>
      <c r="D261" s="1197" t="s">
        <v>1269</v>
      </c>
      <c r="E261" s="620">
        <f aca="true" t="shared" si="54" ref="E261:J266">SUMIF($C$609:$C$12278,$C261,E$609:E$12278)</f>
        <v>0</v>
      </c>
      <c r="F261" s="628">
        <f t="shared" si="54"/>
        <v>0</v>
      </c>
      <c r="G261" s="578">
        <f t="shared" si="54"/>
        <v>0</v>
      </c>
      <c r="H261" s="579">
        <f t="shared" si="54"/>
        <v>0</v>
      </c>
      <c r="I261" s="579">
        <f t="shared" si="54"/>
        <v>0</v>
      </c>
      <c r="J261" s="580">
        <f t="shared" si="54"/>
        <v>0</v>
      </c>
      <c r="K261" s="1527">
        <f t="shared" si="52"/>
      </c>
      <c r="L261" s="1361" t="s">
        <v>1659</v>
      </c>
      <c r="N261" s="352"/>
      <c r="O261" s="352"/>
      <c r="P261" s="352"/>
      <c r="Q261" s="352"/>
      <c r="R261" s="352"/>
      <c r="S261" s="352"/>
      <c r="T261" s="352"/>
      <c r="U261" s="352"/>
      <c r="V261" s="352"/>
      <c r="W261" s="352"/>
      <c r="X261" s="352"/>
      <c r="Y261" s="352"/>
      <c r="Z261" s="352"/>
    </row>
    <row r="262" spans="1:26" ht="18.75" customHeight="1">
      <c r="A262" s="9">
        <v>505</v>
      </c>
      <c r="B262" s="1245"/>
      <c r="C262" s="1202">
        <v>4202</v>
      </c>
      <c r="D262" s="1246" t="s">
        <v>1270</v>
      </c>
      <c r="E262" s="622">
        <f t="shared" si="54"/>
        <v>0</v>
      </c>
      <c r="F262" s="630">
        <f t="shared" si="54"/>
        <v>0</v>
      </c>
      <c r="G262" s="584">
        <f t="shared" si="54"/>
        <v>0</v>
      </c>
      <c r="H262" s="585">
        <f t="shared" si="54"/>
        <v>0</v>
      </c>
      <c r="I262" s="585">
        <f t="shared" si="54"/>
        <v>0</v>
      </c>
      <c r="J262" s="586">
        <f t="shared" si="54"/>
        <v>0</v>
      </c>
      <c r="K262" s="1527">
        <f t="shared" si="52"/>
      </c>
      <c r="L262" s="1361" t="s">
        <v>1664</v>
      </c>
      <c r="N262" s="352"/>
      <c r="O262" s="352"/>
      <c r="P262" s="352"/>
      <c r="Q262" s="352"/>
      <c r="R262" s="352"/>
      <c r="S262" s="352"/>
      <c r="T262" s="352"/>
      <c r="U262" s="352"/>
      <c r="V262" s="352"/>
      <c r="W262" s="352"/>
      <c r="X262" s="352"/>
      <c r="Y262" s="352"/>
      <c r="Z262" s="352"/>
    </row>
    <row r="263" spans="1:12" ht="18.75" customHeight="1">
      <c r="A263" s="9">
        <v>510</v>
      </c>
      <c r="B263" s="1245"/>
      <c r="C263" s="1202">
        <v>4214</v>
      </c>
      <c r="D263" s="1246" t="s">
        <v>1271</v>
      </c>
      <c r="E263" s="622">
        <f t="shared" si="54"/>
        <v>0</v>
      </c>
      <c r="F263" s="630">
        <f t="shared" si="54"/>
        <v>0</v>
      </c>
      <c r="G263" s="584">
        <f t="shared" si="54"/>
        <v>0</v>
      </c>
      <c r="H263" s="585">
        <f t="shared" si="54"/>
        <v>0</v>
      </c>
      <c r="I263" s="585">
        <f t="shared" si="54"/>
        <v>0</v>
      </c>
      <c r="J263" s="586">
        <f t="shared" si="54"/>
        <v>0</v>
      </c>
      <c r="K263" s="1527">
        <f t="shared" si="52"/>
      </c>
      <c r="L263" s="1361"/>
    </row>
    <row r="264" spans="1:12" ht="18.75" customHeight="1">
      <c r="A264" s="9">
        <v>515</v>
      </c>
      <c r="B264" s="1245"/>
      <c r="C264" s="1202">
        <v>4217</v>
      </c>
      <c r="D264" s="1246" t="s">
        <v>1272</v>
      </c>
      <c r="E264" s="622">
        <f t="shared" si="54"/>
        <v>0</v>
      </c>
      <c r="F264" s="630">
        <f t="shared" si="54"/>
        <v>0</v>
      </c>
      <c r="G264" s="584">
        <f t="shared" si="54"/>
        <v>0</v>
      </c>
      <c r="H264" s="585">
        <f t="shared" si="54"/>
        <v>0</v>
      </c>
      <c r="I264" s="585">
        <f t="shared" si="54"/>
        <v>0</v>
      </c>
      <c r="J264" s="586">
        <f t="shared" si="54"/>
        <v>0</v>
      </c>
      <c r="K264" s="1527">
        <f t="shared" si="52"/>
      </c>
      <c r="L264" s="1361" t="s">
        <v>1665</v>
      </c>
    </row>
    <row r="265" spans="1:12" ht="18.75" customHeight="1">
      <c r="A265" s="9">
        <v>520</v>
      </c>
      <c r="B265" s="1245"/>
      <c r="C265" s="1202">
        <v>4218</v>
      </c>
      <c r="D265" s="1203" t="s">
        <v>1273</v>
      </c>
      <c r="E265" s="622">
        <f t="shared" si="54"/>
        <v>0</v>
      </c>
      <c r="F265" s="630">
        <f t="shared" si="54"/>
        <v>0</v>
      </c>
      <c r="G265" s="584">
        <f t="shared" si="54"/>
        <v>0</v>
      </c>
      <c r="H265" s="585">
        <f t="shared" si="54"/>
        <v>0</v>
      </c>
      <c r="I265" s="585">
        <f t="shared" si="54"/>
        <v>0</v>
      </c>
      <c r="J265" s="586">
        <f t="shared" si="54"/>
        <v>0</v>
      </c>
      <c r="K265" s="1527">
        <f t="shared" si="52"/>
      </c>
      <c r="L265" s="1361" t="s">
        <v>1657</v>
      </c>
    </row>
    <row r="266" spans="1:12" ht="18.75" customHeight="1">
      <c r="A266" s="9">
        <v>525</v>
      </c>
      <c r="B266" s="1245"/>
      <c r="C266" s="1198">
        <v>4219</v>
      </c>
      <c r="D266" s="1230" t="s">
        <v>1274</v>
      </c>
      <c r="E266" s="626">
        <f t="shared" si="54"/>
        <v>0</v>
      </c>
      <c r="F266" s="629">
        <f t="shared" si="54"/>
        <v>0</v>
      </c>
      <c r="G266" s="581">
        <f t="shared" si="54"/>
        <v>0</v>
      </c>
      <c r="H266" s="582">
        <f t="shared" si="54"/>
        <v>0</v>
      </c>
      <c r="I266" s="582">
        <f t="shared" si="54"/>
        <v>0</v>
      </c>
      <c r="J266" s="583">
        <f t="shared" si="54"/>
        <v>0</v>
      </c>
      <c r="K266" s="1527">
        <f t="shared" si="52"/>
      </c>
      <c r="L266" s="1361"/>
    </row>
    <row r="267" spans="1:26" s="352" customFormat="1" ht="18.75" customHeight="1">
      <c r="A267" s="8">
        <v>635</v>
      </c>
      <c r="B267" s="1194">
        <v>4300</v>
      </c>
      <c r="C267" s="2217" t="s">
        <v>148</v>
      </c>
      <c r="D267" s="2217"/>
      <c r="E267" s="463">
        <f aca="true" t="shared" si="55" ref="E267:J267">SUMIF($B$609:$B$12278,$B267,E$609:E$12278)</f>
        <v>0</v>
      </c>
      <c r="F267" s="464">
        <f t="shared" si="55"/>
        <v>0</v>
      </c>
      <c r="G267" s="575">
        <f t="shared" si="55"/>
        <v>0</v>
      </c>
      <c r="H267" s="576">
        <f t="shared" si="55"/>
        <v>0</v>
      </c>
      <c r="I267" s="576">
        <f t="shared" si="55"/>
        <v>0</v>
      </c>
      <c r="J267" s="577">
        <f t="shared" si="55"/>
        <v>0</v>
      </c>
      <c r="K267" s="1527">
        <f t="shared" si="52"/>
      </c>
      <c r="L267" s="1361" t="s">
        <v>1654</v>
      </c>
      <c r="M267" s="2017"/>
      <c r="N267" s="350"/>
      <c r="O267" s="350"/>
      <c r="P267" s="350"/>
      <c r="Q267" s="350"/>
      <c r="R267" s="350"/>
      <c r="S267" s="350"/>
      <c r="T267" s="350"/>
      <c r="U267" s="350"/>
      <c r="V267" s="350"/>
      <c r="W267" s="350"/>
      <c r="X267" s="350"/>
      <c r="Y267" s="350"/>
      <c r="Z267" s="350"/>
    </row>
    <row r="268" spans="1:12" ht="18.75" customHeight="1">
      <c r="A268" s="9">
        <v>640</v>
      </c>
      <c r="B268" s="1245"/>
      <c r="C268" s="1196">
        <v>4301</v>
      </c>
      <c r="D268" s="1215" t="s">
        <v>1275</v>
      </c>
      <c r="E268" s="620">
        <f aca="true" t="shared" si="56" ref="E268:J270">SUMIF($C$609:$C$12278,$C268,E$609:E$12278)</f>
        <v>0</v>
      </c>
      <c r="F268" s="628">
        <f t="shared" si="56"/>
        <v>0</v>
      </c>
      <c r="G268" s="578">
        <f t="shared" si="56"/>
        <v>0</v>
      </c>
      <c r="H268" s="579">
        <f t="shared" si="56"/>
        <v>0</v>
      </c>
      <c r="I268" s="579">
        <f t="shared" si="56"/>
        <v>0</v>
      </c>
      <c r="J268" s="580">
        <f t="shared" si="56"/>
        <v>0</v>
      </c>
      <c r="K268" s="1527">
        <f t="shared" si="52"/>
      </c>
      <c r="L268" s="1361" t="s">
        <v>1657</v>
      </c>
    </row>
    <row r="269" spans="1:26" ht="18.75" customHeight="1">
      <c r="A269" s="9">
        <v>645</v>
      </c>
      <c r="B269" s="1245"/>
      <c r="C269" s="1202">
        <v>4302</v>
      </c>
      <c r="D269" s="1246" t="s">
        <v>1276</v>
      </c>
      <c r="E269" s="622">
        <f t="shared" si="56"/>
        <v>0</v>
      </c>
      <c r="F269" s="630">
        <f t="shared" si="56"/>
        <v>0</v>
      </c>
      <c r="G269" s="584">
        <f t="shared" si="56"/>
        <v>0</v>
      </c>
      <c r="H269" s="585">
        <f t="shared" si="56"/>
        <v>0</v>
      </c>
      <c r="I269" s="585">
        <f t="shared" si="56"/>
        <v>0</v>
      </c>
      <c r="J269" s="586">
        <f t="shared" si="56"/>
        <v>0</v>
      </c>
      <c r="K269" s="1527">
        <f t="shared" si="52"/>
      </c>
      <c r="L269" s="1361" t="s">
        <v>1667</v>
      </c>
      <c r="N269" s="352"/>
      <c r="O269" s="352"/>
      <c r="P269" s="352"/>
      <c r="Q269" s="352"/>
      <c r="R269" s="352"/>
      <c r="S269" s="352"/>
      <c r="T269" s="352"/>
      <c r="U269" s="352"/>
      <c r="V269" s="352"/>
      <c r="W269" s="352"/>
      <c r="X269" s="352"/>
      <c r="Y269" s="352"/>
      <c r="Z269" s="352"/>
    </row>
    <row r="270" spans="1:12" ht="18.75" customHeight="1">
      <c r="A270" s="9">
        <v>650</v>
      </c>
      <c r="B270" s="1245"/>
      <c r="C270" s="1198">
        <v>4309</v>
      </c>
      <c r="D270" s="1206" t="s">
        <v>1277</v>
      </c>
      <c r="E270" s="626">
        <f t="shared" si="56"/>
        <v>0</v>
      </c>
      <c r="F270" s="629">
        <f t="shared" si="56"/>
        <v>0</v>
      </c>
      <c r="G270" s="581">
        <f t="shared" si="56"/>
        <v>0</v>
      </c>
      <c r="H270" s="582">
        <f t="shared" si="56"/>
        <v>0</v>
      </c>
      <c r="I270" s="582">
        <f t="shared" si="56"/>
        <v>0</v>
      </c>
      <c r="J270" s="583">
        <f t="shared" si="56"/>
        <v>0</v>
      </c>
      <c r="K270" s="1527">
        <f t="shared" si="52"/>
      </c>
      <c r="L270" s="1361" t="s">
        <v>1669</v>
      </c>
    </row>
    <row r="271" spans="1:26" s="352" customFormat="1" ht="18.75" customHeight="1">
      <c r="A271" s="8">
        <v>655</v>
      </c>
      <c r="B271" s="1194">
        <v>4400</v>
      </c>
      <c r="C271" s="2217" t="s">
        <v>145</v>
      </c>
      <c r="D271" s="2217"/>
      <c r="E271" s="463">
        <f aca="true" t="shared" si="57" ref="E271:J274">SUMIF($B$609:$B$12278,$B271,E$609:E$12278)</f>
        <v>0</v>
      </c>
      <c r="F271" s="464">
        <f t="shared" si="57"/>
        <v>0</v>
      </c>
      <c r="G271" s="575">
        <f t="shared" si="57"/>
        <v>0</v>
      </c>
      <c r="H271" s="576">
        <f t="shared" si="57"/>
        <v>0</v>
      </c>
      <c r="I271" s="576">
        <f t="shared" si="57"/>
        <v>0</v>
      </c>
      <c r="J271" s="577">
        <f t="shared" si="57"/>
        <v>0</v>
      </c>
      <c r="K271" s="1527">
        <f t="shared" si="52"/>
      </c>
      <c r="L271" s="1361" t="s">
        <v>1666</v>
      </c>
      <c r="M271" s="2017"/>
      <c r="N271" s="350"/>
      <c r="O271" s="350"/>
      <c r="P271" s="350"/>
      <c r="Q271" s="350"/>
      <c r="R271" s="350"/>
      <c r="S271" s="350"/>
      <c r="T271" s="350"/>
      <c r="U271" s="350"/>
      <c r="V271" s="350"/>
      <c r="W271" s="350"/>
      <c r="X271" s="350"/>
      <c r="Y271" s="350"/>
      <c r="Z271" s="350"/>
    </row>
    <row r="272" spans="1:26" s="352" customFormat="1" ht="18.75" customHeight="1">
      <c r="A272" s="8">
        <v>665</v>
      </c>
      <c r="B272" s="1194">
        <v>4500</v>
      </c>
      <c r="C272" s="2217" t="s">
        <v>146</v>
      </c>
      <c r="D272" s="2217"/>
      <c r="E272" s="463">
        <f t="shared" si="57"/>
        <v>0</v>
      </c>
      <c r="F272" s="464">
        <f t="shared" si="57"/>
        <v>0</v>
      </c>
      <c r="G272" s="575">
        <f t="shared" si="57"/>
        <v>0</v>
      </c>
      <c r="H272" s="576">
        <f t="shared" si="57"/>
        <v>0</v>
      </c>
      <c r="I272" s="576">
        <f t="shared" si="57"/>
        <v>0</v>
      </c>
      <c r="J272" s="577">
        <f t="shared" si="57"/>
        <v>0</v>
      </c>
      <c r="K272" s="1527">
        <f t="shared" si="52"/>
      </c>
      <c r="L272" s="1361" t="s">
        <v>1670</v>
      </c>
      <c r="M272" s="2017"/>
      <c r="N272" s="350"/>
      <c r="O272" s="350"/>
      <c r="P272" s="350"/>
      <c r="Q272" s="350"/>
      <c r="R272" s="350"/>
      <c r="S272" s="350"/>
      <c r="T272" s="350"/>
      <c r="U272" s="350"/>
      <c r="V272" s="350"/>
      <c r="W272" s="350"/>
      <c r="X272" s="350"/>
      <c r="Y272" s="350"/>
      <c r="Z272" s="350"/>
    </row>
    <row r="273" spans="1:13" s="352" customFormat="1" ht="18.75" customHeight="1">
      <c r="A273" s="8">
        <v>675</v>
      </c>
      <c r="B273" s="1194">
        <v>4600</v>
      </c>
      <c r="C273" s="2222" t="s">
        <v>1278</v>
      </c>
      <c r="D273" s="2223"/>
      <c r="E273" s="463">
        <f t="shared" si="57"/>
        <v>80000</v>
      </c>
      <c r="F273" s="464">
        <f t="shared" si="57"/>
        <v>42550</v>
      </c>
      <c r="G273" s="575">
        <f t="shared" si="57"/>
        <v>42550</v>
      </c>
      <c r="H273" s="576">
        <f t="shared" si="57"/>
        <v>0</v>
      </c>
      <c r="I273" s="576">
        <f t="shared" si="57"/>
        <v>0</v>
      </c>
      <c r="J273" s="577">
        <f t="shared" si="57"/>
        <v>0</v>
      </c>
      <c r="K273" s="1527">
        <f t="shared" si="52"/>
        <v>1</v>
      </c>
      <c r="L273" s="1362" t="s">
        <v>1659</v>
      </c>
      <c r="M273" s="2017"/>
    </row>
    <row r="274" spans="1:13" s="352" customFormat="1" ht="18.75" customHeight="1">
      <c r="A274" s="8">
        <v>685</v>
      </c>
      <c r="B274" s="1194">
        <v>4900</v>
      </c>
      <c r="C274" s="2217" t="s">
        <v>2010</v>
      </c>
      <c r="D274" s="2217"/>
      <c r="E274" s="463">
        <f t="shared" si="57"/>
        <v>0</v>
      </c>
      <c r="F274" s="464">
        <f t="shared" si="57"/>
        <v>0</v>
      </c>
      <c r="G274" s="575">
        <f t="shared" si="57"/>
        <v>0</v>
      </c>
      <c r="H274" s="576">
        <f t="shared" si="57"/>
        <v>0</v>
      </c>
      <c r="I274" s="576">
        <f t="shared" si="57"/>
        <v>0</v>
      </c>
      <c r="J274" s="577">
        <f t="shared" si="57"/>
        <v>0</v>
      </c>
      <c r="K274" s="1527">
        <f t="shared" si="52"/>
      </c>
      <c r="L274" s="1362"/>
      <c r="M274" s="2017"/>
    </row>
    <row r="275" spans="1:26" ht="18.75" customHeight="1">
      <c r="A275" s="9">
        <v>690</v>
      </c>
      <c r="B275" s="1245"/>
      <c r="C275" s="1196">
        <v>4901</v>
      </c>
      <c r="D275" s="1247" t="s">
        <v>2011</v>
      </c>
      <c r="E275" s="620">
        <f aca="true" t="shared" si="58" ref="E275:J276">SUMIF($C$609:$C$12278,$C275,E$609:E$12278)</f>
        <v>0</v>
      </c>
      <c r="F275" s="628">
        <f t="shared" si="58"/>
        <v>0</v>
      </c>
      <c r="G275" s="578">
        <f t="shared" si="58"/>
        <v>0</v>
      </c>
      <c r="H275" s="579">
        <f t="shared" si="58"/>
        <v>0</v>
      </c>
      <c r="I275" s="579">
        <f t="shared" si="58"/>
        <v>0</v>
      </c>
      <c r="J275" s="580">
        <f t="shared" si="58"/>
        <v>0</v>
      </c>
      <c r="K275" s="1527">
        <f t="shared" si="52"/>
      </c>
      <c r="L275" s="1362"/>
      <c r="N275" s="352"/>
      <c r="O275" s="352"/>
      <c r="P275" s="352"/>
      <c r="Q275" s="352"/>
      <c r="R275" s="352"/>
      <c r="S275" s="352"/>
      <c r="T275" s="352"/>
      <c r="U275" s="352"/>
      <c r="V275" s="352"/>
      <c r="W275" s="352"/>
      <c r="X275" s="352"/>
      <c r="Y275" s="352"/>
      <c r="Z275" s="352"/>
    </row>
    <row r="276" spans="1:26" ht="18.75" customHeight="1">
      <c r="A276" s="9">
        <v>695</v>
      </c>
      <c r="B276" s="1245"/>
      <c r="C276" s="1198">
        <v>4902</v>
      </c>
      <c r="D276" s="1206" t="s">
        <v>2012</v>
      </c>
      <c r="E276" s="626">
        <f t="shared" si="58"/>
        <v>0</v>
      </c>
      <c r="F276" s="629">
        <f t="shared" si="58"/>
        <v>0</v>
      </c>
      <c r="G276" s="581">
        <f t="shared" si="58"/>
        <v>0</v>
      </c>
      <c r="H276" s="582">
        <f t="shared" si="58"/>
        <v>0</v>
      </c>
      <c r="I276" s="582">
        <f t="shared" si="58"/>
        <v>0</v>
      </c>
      <c r="J276" s="583">
        <f t="shared" si="58"/>
        <v>0</v>
      </c>
      <c r="K276" s="1527">
        <f t="shared" si="52"/>
      </c>
      <c r="L276" s="1361" t="s">
        <v>1654</v>
      </c>
      <c r="N276" s="352"/>
      <c r="O276" s="352"/>
      <c r="P276" s="352"/>
      <c r="Q276" s="352"/>
      <c r="R276" s="352"/>
      <c r="S276" s="352"/>
      <c r="T276" s="352"/>
      <c r="U276" s="352"/>
      <c r="V276" s="352"/>
      <c r="W276" s="352"/>
      <c r="X276" s="352"/>
      <c r="Y276" s="352"/>
      <c r="Z276" s="352"/>
    </row>
    <row r="277" spans="1:26" s="361" customFormat="1" ht="18.75" customHeight="1">
      <c r="A277" s="8">
        <v>700</v>
      </c>
      <c r="B277" s="1248">
        <v>5100</v>
      </c>
      <c r="C277" s="2216" t="s">
        <v>1279</v>
      </c>
      <c r="D277" s="2216"/>
      <c r="E277" s="463">
        <f aca="true" t="shared" si="59" ref="E277:J278">SUMIF($B$609:$B$12278,$B277,E$609:E$12278)</f>
        <v>58500</v>
      </c>
      <c r="F277" s="464">
        <f t="shared" si="59"/>
        <v>0</v>
      </c>
      <c r="G277" s="575">
        <f t="shared" si="59"/>
        <v>0</v>
      </c>
      <c r="H277" s="576">
        <f t="shared" si="59"/>
        <v>0</v>
      </c>
      <c r="I277" s="576">
        <f t="shared" si="59"/>
        <v>0</v>
      </c>
      <c r="J277" s="577">
        <f t="shared" si="59"/>
        <v>0</v>
      </c>
      <c r="K277" s="1527">
        <f t="shared" si="52"/>
        <v>1</v>
      </c>
      <c r="L277" s="1361" t="s">
        <v>1655</v>
      </c>
      <c r="M277" s="2017"/>
      <c r="N277" s="350"/>
      <c r="O277" s="350"/>
      <c r="P277" s="350"/>
      <c r="Q277" s="350"/>
      <c r="R277" s="350"/>
      <c r="S277" s="350"/>
      <c r="T277" s="350"/>
      <c r="U277" s="350"/>
      <c r="V277" s="350"/>
      <c r="W277" s="350"/>
      <c r="X277" s="350"/>
      <c r="Y277" s="350"/>
      <c r="Z277" s="350"/>
    </row>
    <row r="278" spans="1:26" s="361" customFormat="1" ht="18.75" customHeight="1">
      <c r="A278" s="8">
        <v>710</v>
      </c>
      <c r="B278" s="1248">
        <v>5200</v>
      </c>
      <c r="C278" s="2216" t="s">
        <v>1280</v>
      </c>
      <c r="D278" s="2216"/>
      <c r="E278" s="463">
        <f t="shared" si="59"/>
        <v>520500</v>
      </c>
      <c r="F278" s="464">
        <f t="shared" si="59"/>
        <v>-16244</v>
      </c>
      <c r="G278" s="575">
        <f t="shared" si="59"/>
        <v>-16244</v>
      </c>
      <c r="H278" s="576">
        <f t="shared" si="59"/>
        <v>0</v>
      </c>
      <c r="I278" s="576">
        <f t="shared" si="59"/>
        <v>0</v>
      </c>
      <c r="J278" s="577">
        <f t="shared" si="59"/>
        <v>0</v>
      </c>
      <c r="K278" s="1527">
        <f t="shared" si="52"/>
        <v>1</v>
      </c>
      <c r="L278" s="1361" t="s">
        <v>1656</v>
      </c>
      <c r="M278" s="2017"/>
      <c r="N278" s="350"/>
      <c r="O278" s="350"/>
      <c r="P278" s="350"/>
      <c r="Q278" s="350"/>
      <c r="R278" s="350"/>
      <c r="S278" s="350"/>
      <c r="T278" s="350"/>
      <c r="U278" s="350"/>
      <c r="V278" s="350"/>
      <c r="W278" s="350"/>
      <c r="X278" s="350"/>
      <c r="Y278" s="350"/>
      <c r="Z278" s="350"/>
    </row>
    <row r="279" spans="1:26" s="362" customFormat="1" ht="18.75" customHeight="1">
      <c r="A279" s="9">
        <v>715</v>
      </c>
      <c r="B279" s="1249"/>
      <c r="C279" s="1250">
        <v>5201</v>
      </c>
      <c r="D279" s="1251" t="s">
        <v>1281</v>
      </c>
      <c r="E279" s="620">
        <f aca="true" t="shared" si="60" ref="E279:J285">SUMIF($C$609:$C$12278,$C279,E$609:E$12278)</f>
        <v>116000</v>
      </c>
      <c r="F279" s="628">
        <f t="shared" si="60"/>
        <v>0</v>
      </c>
      <c r="G279" s="578">
        <f t="shared" si="60"/>
        <v>0</v>
      </c>
      <c r="H279" s="579">
        <f t="shared" si="60"/>
        <v>0</v>
      </c>
      <c r="I279" s="579">
        <f t="shared" si="60"/>
        <v>0</v>
      </c>
      <c r="J279" s="580">
        <f t="shared" si="60"/>
        <v>0</v>
      </c>
      <c r="K279" s="1527">
        <f t="shared" si="52"/>
        <v>1</v>
      </c>
      <c r="L279" s="1361" t="s">
        <v>1657</v>
      </c>
      <c r="M279" s="2022"/>
      <c r="N279" s="361"/>
      <c r="O279" s="361"/>
      <c r="P279" s="361"/>
      <c r="Q279" s="361"/>
      <c r="R279" s="361"/>
      <c r="S279" s="361"/>
      <c r="T279" s="361"/>
      <c r="U279" s="361"/>
      <c r="V279" s="361"/>
      <c r="W279" s="361"/>
      <c r="X279" s="361"/>
      <c r="Y279" s="361"/>
      <c r="Z279" s="361"/>
    </row>
    <row r="280" spans="1:26" s="362" customFormat="1" ht="18.75" customHeight="1">
      <c r="A280" s="9">
        <v>720</v>
      </c>
      <c r="B280" s="1249"/>
      <c r="C280" s="1252">
        <v>5202</v>
      </c>
      <c r="D280" s="1253" t="s">
        <v>1282</v>
      </c>
      <c r="E280" s="622">
        <f t="shared" si="60"/>
        <v>0</v>
      </c>
      <c r="F280" s="630">
        <f t="shared" si="60"/>
        <v>0</v>
      </c>
      <c r="G280" s="584">
        <f t="shared" si="60"/>
        <v>0</v>
      </c>
      <c r="H280" s="585">
        <f t="shared" si="60"/>
        <v>0</v>
      </c>
      <c r="I280" s="585">
        <f t="shared" si="60"/>
        <v>0</v>
      </c>
      <c r="J280" s="586">
        <f t="shared" si="60"/>
        <v>0</v>
      </c>
      <c r="K280" s="1527">
        <f t="shared" si="52"/>
      </c>
      <c r="L280" s="1361" t="s">
        <v>1658</v>
      </c>
      <c r="M280" s="2022"/>
      <c r="N280" s="361"/>
      <c r="O280" s="361"/>
      <c r="P280" s="361"/>
      <c r="Q280" s="361"/>
      <c r="R280" s="361"/>
      <c r="S280" s="361"/>
      <c r="T280" s="361"/>
      <c r="U280" s="361"/>
      <c r="V280" s="361"/>
      <c r="W280" s="361"/>
      <c r="X280" s="361"/>
      <c r="Y280" s="361"/>
      <c r="Z280" s="361"/>
    </row>
    <row r="281" spans="1:13" s="362" customFormat="1" ht="18.75" customHeight="1">
      <c r="A281" s="9">
        <v>725</v>
      </c>
      <c r="B281" s="1249"/>
      <c r="C281" s="1252">
        <v>5203</v>
      </c>
      <c r="D281" s="1253" t="s">
        <v>523</v>
      </c>
      <c r="E281" s="622">
        <f t="shared" si="60"/>
        <v>291500</v>
      </c>
      <c r="F281" s="630">
        <f t="shared" si="60"/>
        <v>-16244</v>
      </c>
      <c r="G281" s="584">
        <f t="shared" si="60"/>
        <v>-16244</v>
      </c>
      <c r="H281" s="585">
        <f t="shared" si="60"/>
        <v>0</v>
      </c>
      <c r="I281" s="585">
        <f t="shared" si="60"/>
        <v>0</v>
      </c>
      <c r="J281" s="586">
        <f t="shared" si="60"/>
        <v>0</v>
      </c>
      <c r="K281" s="1527">
        <f t="shared" si="52"/>
        <v>1</v>
      </c>
      <c r="L281" s="1361" t="s">
        <v>1659</v>
      </c>
      <c r="M281" s="2022"/>
    </row>
    <row r="282" spans="1:13" s="362" customFormat="1" ht="18.75" customHeight="1">
      <c r="A282" s="9">
        <v>730</v>
      </c>
      <c r="B282" s="1249"/>
      <c r="C282" s="1252">
        <v>5204</v>
      </c>
      <c r="D282" s="1253" t="s">
        <v>524</v>
      </c>
      <c r="E282" s="622">
        <f t="shared" si="60"/>
        <v>108000</v>
      </c>
      <c r="F282" s="630">
        <f t="shared" si="60"/>
        <v>0</v>
      </c>
      <c r="G282" s="584">
        <f t="shared" si="60"/>
        <v>0</v>
      </c>
      <c r="H282" s="585">
        <f t="shared" si="60"/>
        <v>0</v>
      </c>
      <c r="I282" s="585">
        <f t="shared" si="60"/>
        <v>0</v>
      </c>
      <c r="J282" s="586">
        <f t="shared" si="60"/>
        <v>0</v>
      </c>
      <c r="K282" s="1527">
        <f t="shared" si="52"/>
        <v>1</v>
      </c>
      <c r="L282" s="1361" t="s">
        <v>1660</v>
      </c>
      <c r="M282" s="2022"/>
    </row>
    <row r="283" spans="1:13" s="362" customFormat="1" ht="18.75" customHeight="1">
      <c r="A283" s="9">
        <v>735</v>
      </c>
      <c r="B283" s="1249"/>
      <c r="C283" s="1252">
        <v>5205</v>
      </c>
      <c r="D283" s="1253" t="s">
        <v>525</v>
      </c>
      <c r="E283" s="622">
        <f t="shared" si="60"/>
        <v>5000</v>
      </c>
      <c r="F283" s="630">
        <f t="shared" si="60"/>
        <v>0</v>
      </c>
      <c r="G283" s="584">
        <f t="shared" si="60"/>
        <v>0</v>
      </c>
      <c r="H283" s="585">
        <f t="shared" si="60"/>
        <v>0</v>
      </c>
      <c r="I283" s="585">
        <f t="shared" si="60"/>
        <v>0</v>
      </c>
      <c r="J283" s="586">
        <f t="shared" si="60"/>
        <v>0</v>
      </c>
      <c r="K283" s="1527">
        <f t="shared" si="52"/>
        <v>1</v>
      </c>
      <c r="L283" s="1361" t="s">
        <v>1661</v>
      </c>
      <c r="M283" s="2022"/>
    </row>
    <row r="284" spans="1:13" s="362" customFormat="1" ht="18.75" customHeight="1">
      <c r="A284" s="9">
        <v>740</v>
      </c>
      <c r="B284" s="1249"/>
      <c r="C284" s="1252">
        <v>5206</v>
      </c>
      <c r="D284" s="1253" t="s">
        <v>526</v>
      </c>
      <c r="E284" s="622">
        <f t="shared" si="60"/>
        <v>0</v>
      </c>
      <c r="F284" s="630">
        <f t="shared" si="60"/>
        <v>0</v>
      </c>
      <c r="G284" s="584">
        <f t="shared" si="60"/>
        <v>0</v>
      </c>
      <c r="H284" s="585">
        <f t="shared" si="60"/>
        <v>0</v>
      </c>
      <c r="I284" s="585">
        <f t="shared" si="60"/>
        <v>0</v>
      </c>
      <c r="J284" s="586">
        <f t="shared" si="60"/>
        <v>0</v>
      </c>
      <c r="K284" s="1527">
        <f t="shared" si="52"/>
      </c>
      <c r="L284" s="1361" t="s">
        <v>1662</v>
      </c>
      <c r="M284" s="2022"/>
    </row>
    <row r="285" spans="1:13" s="362" customFormat="1" ht="18.75" customHeight="1">
      <c r="A285" s="9">
        <v>745</v>
      </c>
      <c r="B285" s="1249"/>
      <c r="C285" s="1254">
        <v>5219</v>
      </c>
      <c r="D285" s="1255" t="s">
        <v>527</v>
      </c>
      <c r="E285" s="626">
        <f t="shared" si="60"/>
        <v>0</v>
      </c>
      <c r="F285" s="629">
        <f t="shared" si="60"/>
        <v>0</v>
      </c>
      <c r="G285" s="581">
        <f t="shared" si="60"/>
        <v>0</v>
      </c>
      <c r="H285" s="582">
        <f t="shared" si="60"/>
        <v>0</v>
      </c>
      <c r="I285" s="582">
        <f t="shared" si="60"/>
        <v>0</v>
      </c>
      <c r="J285" s="583">
        <f t="shared" si="60"/>
        <v>0</v>
      </c>
      <c r="K285" s="1527">
        <f t="shared" si="52"/>
      </c>
      <c r="L285" s="1361" t="s">
        <v>1657</v>
      </c>
      <c r="M285" s="2022"/>
    </row>
    <row r="286" spans="1:26" s="361" customFormat="1" ht="18.75" customHeight="1">
      <c r="A286" s="8">
        <v>750</v>
      </c>
      <c r="B286" s="1248">
        <v>5300</v>
      </c>
      <c r="C286" s="2216" t="s">
        <v>528</v>
      </c>
      <c r="D286" s="2216"/>
      <c r="E286" s="463">
        <f aca="true" t="shared" si="61" ref="E286:J286">SUMIF($B$609:$B$12278,$B286,E$609:E$12278)</f>
        <v>904000</v>
      </c>
      <c r="F286" s="464">
        <f t="shared" si="61"/>
        <v>0</v>
      </c>
      <c r="G286" s="575">
        <f t="shared" si="61"/>
        <v>0</v>
      </c>
      <c r="H286" s="576">
        <f t="shared" si="61"/>
        <v>0</v>
      </c>
      <c r="I286" s="576">
        <f t="shared" si="61"/>
        <v>0</v>
      </c>
      <c r="J286" s="577">
        <f t="shared" si="61"/>
        <v>0</v>
      </c>
      <c r="K286" s="1527">
        <f t="shared" si="52"/>
        <v>1</v>
      </c>
      <c r="L286" s="1361" t="s">
        <v>1663</v>
      </c>
      <c r="M286" s="2022"/>
      <c r="N286" s="362"/>
      <c r="O286" s="362"/>
      <c r="P286" s="362"/>
      <c r="Q286" s="362"/>
      <c r="R286" s="362"/>
      <c r="S286" s="362"/>
      <c r="T286" s="362"/>
      <c r="U286" s="362"/>
      <c r="V286" s="362"/>
      <c r="W286" s="362"/>
      <c r="X286" s="362"/>
      <c r="Y286" s="362"/>
      <c r="Z286" s="362"/>
    </row>
    <row r="287" spans="1:13" s="362" customFormat="1" ht="18.75" customHeight="1">
      <c r="A287" s="9">
        <v>755</v>
      </c>
      <c r="B287" s="1249"/>
      <c r="C287" s="1250">
        <v>5301</v>
      </c>
      <c r="D287" s="1251" t="s">
        <v>1034</v>
      </c>
      <c r="E287" s="620">
        <f aca="true" t="shared" si="62" ref="E287:J288">SUMIF($C$609:$C$12278,$C287,E$609:E$12278)</f>
        <v>904000</v>
      </c>
      <c r="F287" s="628">
        <f t="shared" si="62"/>
        <v>0</v>
      </c>
      <c r="G287" s="578">
        <f t="shared" si="62"/>
        <v>0</v>
      </c>
      <c r="H287" s="579">
        <f t="shared" si="62"/>
        <v>0</v>
      </c>
      <c r="I287" s="579">
        <f t="shared" si="62"/>
        <v>0</v>
      </c>
      <c r="J287" s="580">
        <f t="shared" si="62"/>
        <v>0</v>
      </c>
      <c r="K287" s="1527">
        <f t="shared" si="52"/>
        <v>1</v>
      </c>
      <c r="L287" s="1361" t="s">
        <v>1659</v>
      </c>
      <c r="M287" s="2022"/>
    </row>
    <row r="288" spans="1:26" s="362" customFormat="1" ht="18.75" customHeight="1">
      <c r="A288" s="9">
        <v>760</v>
      </c>
      <c r="B288" s="1249"/>
      <c r="C288" s="1254">
        <v>5309</v>
      </c>
      <c r="D288" s="1255" t="s">
        <v>529</v>
      </c>
      <c r="E288" s="626">
        <f t="shared" si="62"/>
        <v>0</v>
      </c>
      <c r="F288" s="629">
        <f t="shared" si="62"/>
        <v>0</v>
      </c>
      <c r="G288" s="581">
        <f t="shared" si="62"/>
        <v>0</v>
      </c>
      <c r="H288" s="582">
        <f t="shared" si="62"/>
        <v>0</v>
      </c>
      <c r="I288" s="582">
        <f t="shared" si="62"/>
        <v>0</v>
      </c>
      <c r="J288" s="583">
        <f t="shared" si="62"/>
        <v>0</v>
      </c>
      <c r="K288" s="1527">
        <f t="shared" si="52"/>
      </c>
      <c r="L288" s="1361" t="s">
        <v>1664</v>
      </c>
      <c r="M288" s="2022"/>
      <c r="N288" s="361"/>
      <c r="O288" s="361"/>
      <c r="P288" s="361"/>
      <c r="Q288" s="361"/>
      <c r="R288" s="361"/>
      <c r="S288" s="361"/>
      <c r="T288" s="361"/>
      <c r="U288" s="361"/>
      <c r="V288" s="361"/>
      <c r="W288" s="361"/>
      <c r="X288" s="361"/>
      <c r="Y288" s="361"/>
      <c r="Z288" s="361"/>
    </row>
    <row r="289" spans="1:26" s="361" customFormat="1" ht="18.75" customHeight="1">
      <c r="A289" s="8">
        <v>765</v>
      </c>
      <c r="B289" s="1248">
        <v>5400</v>
      </c>
      <c r="C289" s="2216" t="s">
        <v>1296</v>
      </c>
      <c r="D289" s="2216"/>
      <c r="E289" s="463">
        <f aca="true" t="shared" si="63" ref="E289:J290">SUMIF($B$609:$B$12278,$B289,E$609:E$12278)</f>
        <v>0</v>
      </c>
      <c r="F289" s="464">
        <f t="shared" si="63"/>
        <v>0</v>
      </c>
      <c r="G289" s="575">
        <f t="shared" si="63"/>
        <v>0</v>
      </c>
      <c r="H289" s="576">
        <f t="shared" si="63"/>
        <v>0</v>
      </c>
      <c r="I289" s="576">
        <f t="shared" si="63"/>
        <v>0</v>
      </c>
      <c r="J289" s="577">
        <f t="shared" si="63"/>
        <v>0</v>
      </c>
      <c r="K289" s="1527">
        <f t="shared" si="52"/>
      </c>
      <c r="L289" s="1361"/>
      <c r="M289" s="2022"/>
      <c r="N289" s="362"/>
      <c r="O289" s="362"/>
      <c r="P289" s="362"/>
      <c r="Q289" s="362"/>
      <c r="R289" s="362"/>
      <c r="S289" s="362"/>
      <c r="T289" s="362"/>
      <c r="U289" s="362"/>
      <c r="V289" s="362"/>
      <c r="W289" s="362"/>
      <c r="X289" s="362"/>
      <c r="Y289" s="362"/>
      <c r="Z289" s="362"/>
    </row>
    <row r="290" spans="1:26" s="352" customFormat="1" ht="18.75" customHeight="1">
      <c r="A290" s="8">
        <v>775</v>
      </c>
      <c r="B290" s="1194">
        <v>5500</v>
      </c>
      <c r="C290" s="2217" t="s">
        <v>1297</v>
      </c>
      <c r="D290" s="2217"/>
      <c r="E290" s="463">
        <f t="shared" si="63"/>
        <v>0</v>
      </c>
      <c r="F290" s="464">
        <f t="shared" si="63"/>
        <v>0</v>
      </c>
      <c r="G290" s="575">
        <f t="shared" si="63"/>
        <v>0</v>
      </c>
      <c r="H290" s="576">
        <f t="shared" si="63"/>
        <v>0</v>
      </c>
      <c r="I290" s="576">
        <f t="shared" si="63"/>
        <v>0</v>
      </c>
      <c r="J290" s="577">
        <f t="shared" si="63"/>
        <v>0</v>
      </c>
      <c r="K290" s="1527">
        <f t="shared" si="52"/>
      </c>
      <c r="L290" s="1361" t="s">
        <v>1665</v>
      </c>
      <c r="M290" s="2022"/>
      <c r="N290" s="362"/>
      <c r="O290" s="362"/>
      <c r="P290" s="362"/>
      <c r="Q290" s="362"/>
      <c r="R290" s="362"/>
      <c r="S290" s="362"/>
      <c r="T290" s="362"/>
      <c r="U290" s="362"/>
      <c r="V290" s="362"/>
      <c r="W290" s="362"/>
      <c r="X290" s="362"/>
      <c r="Y290" s="362"/>
      <c r="Z290" s="362"/>
    </row>
    <row r="291" spans="1:26" ht="18.75" customHeight="1">
      <c r="A291" s="9">
        <v>780</v>
      </c>
      <c r="B291" s="1245"/>
      <c r="C291" s="1196">
        <v>5501</v>
      </c>
      <c r="D291" s="1215" t="s">
        <v>1298</v>
      </c>
      <c r="E291" s="620">
        <f aca="true" t="shared" si="64" ref="E291:J294">SUMIF($C$609:$C$12278,$C291,E$609:E$12278)</f>
        <v>0</v>
      </c>
      <c r="F291" s="628">
        <f t="shared" si="64"/>
        <v>0</v>
      </c>
      <c r="G291" s="578">
        <f t="shared" si="64"/>
        <v>0</v>
      </c>
      <c r="H291" s="579">
        <f t="shared" si="64"/>
        <v>0</v>
      </c>
      <c r="I291" s="579">
        <f t="shared" si="64"/>
        <v>0</v>
      </c>
      <c r="J291" s="580">
        <f t="shared" si="64"/>
        <v>0</v>
      </c>
      <c r="K291" s="1527">
        <f t="shared" si="52"/>
      </c>
      <c r="L291" s="1361" t="s">
        <v>1657</v>
      </c>
      <c r="M291" s="2022"/>
      <c r="N291" s="361"/>
      <c r="O291" s="361"/>
      <c r="P291" s="361"/>
      <c r="Q291" s="361"/>
      <c r="R291" s="361"/>
      <c r="S291" s="361"/>
      <c r="T291" s="361"/>
      <c r="U291" s="361"/>
      <c r="V291" s="361"/>
      <c r="W291" s="361"/>
      <c r="X291" s="361"/>
      <c r="Y291" s="361"/>
      <c r="Z291" s="361"/>
    </row>
    <row r="292" spans="1:26" ht="18.75" customHeight="1">
      <c r="A292" s="9">
        <v>785</v>
      </c>
      <c r="B292" s="1245"/>
      <c r="C292" s="1202">
        <v>5502</v>
      </c>
      <c r="D292" s="1203" t="s">
        <v>1299</v>
      </c>
      <c r="E292" s="622">
        <f t="shared" si="64"/>
        <v>0</v>
      </c>
      <c r="F292" s="630">
        <f t="shared" si="64"/>
        <v>0</v>
      </c>
      <c r="G292" s="584">
        <f t="shared" si="64"/>
        <v>0</v>
      </c>
      <c r="H292" s="585">
        <f t="shared" si="64"/>
        <v>0</v>
      </c>
      <c r="I292" s="585">
        <f t="shared" si="64"/>
        <v>0</v>
      </c>
      <c r="J292" s="586">
        <f t="shared" si="64"/>
        <v>0</v>
      </c>
      <c r="K292" s="1527">
        <f t="shared" si="52"/>
      </c>
      <c r="L292" s="1361"/>
      <c r="N292" s="352"/>
      <c r="O292" s="352"/>
      <c r="P292" s="352"/>
      <c r="Q292" s="352"/>
      <c r="R292" s="352"/>
      <c r="S292" s="352"/>
      <c r="T292" s="352"/>
      <c r="U292" s="352"/>
      <c r="V292" s="352"/>
      <c r="W292" s="352"/>
      <c r="X292" s="352"/>
      <c r="Y292" s="352"/>
      <c r="Z292" s="352"/>
    </row>
    <row r="293" spans="1:12" ht="18.75" customHeight="1">
      <c r="A293" s="9">
        <v>790</v>
      </c>
      <c r="B293" s="1245"/>
      <c r="C293" s="1202">
        <v>5503</v>
      </c>
      <c r="D293" s="1246" t="s">
        <v>1300</v>
      </c>
      <c r="E293" s="622">
        <f t="shared" si="64"/>
        <v>0</v>
      </c>
      <c r="F293" s="630">
        <f t="shared" si="64"/>
        <v>0</v>
      </c>
      <c r="G293" s="584">
        <f t="shared" si="64"/>
        <v>0</v>
      </c>
      <c r="H293" s="585">
        <f t="shared" si="64"/>
        <v>0</v>
      </c>
      <c r="I293" s="585">
        <f t="shared" si="64"/>
        <v>0</v>
      </c>
      <c r="J293" s="586">
        <f t="shared" si="64"/>
        <v>0</v>
      </c>
      <c r="K293" s="1527">
        <f t="shared" si="52"/>
      </c>
      <c r="L293" s="1361" t="s">
        <v>1654</v>
      </c>
    </row>
    <row r="294" spans="1:12" ht="18.75" customHeight="1">
      <c r="A294" s="9">
        <v>795</v>
      </c>
      <c r="B294" s="1245"/>
      <c r="C294" s="1198">
        <v>5504</v>
      </c>
      <c r="D294" s="1226" t="s">
        <v>1301</v>
      </c>
      <c r="E294" s="626">
        <f t="shared" si="64"/>
        <v>0</v>
      </c>
      <c r="F294" s="629">
        <f t="shared" si="64"/>
        <v>0</v>
      </c>
      <c r="G294" s="581">
        <f t="shared" si="64"/>
        <v>0</v>
      </c>
      <c r="H294" s="582">
        <f t="shared" si="64"/>
        <v>0</v>
      </c>
      <c r="I294" s="582">
        <f t="shared" si="64"/>
        <v>0</v>
      </c>
      <c r="J294" s="583">
        <f t="shared" si="64"/>
        <v>0</v>
      </c>
      <c r="K294" s="1527">
        <f t="shared" si="52"/>
      </c>
      <c r="L294" s="1361" t="s">
        <v>1657</v>
      </c>
    </row>
    <row r="295" spans="1:26" s="361" customFormat="1" ht="18.75" customHeight="1">
      <c r="A295" s="8">
        <v>805</v>
      </c>
      <c r="B295" s="1248">
        <v>5700</v>
      </c>
      <c r="C295" s="2218" t="s">
        <v>1597</v>
      </c>
      <c r="D295" s="2219"/>
      <c r="E295" s="463">
        <f aca="true" t="shared" si="65" ref="E295:J295">SUMIF($B$609:$B$12278,$B295,E$609:E$12278)</f>
        <v>0</v>
      </c>
      <c r="F295" s="464">
        <f t="shared" si="65"/>
        <v>0</v>
      </c>
      <c r="G295" s="575">
        <f t="shared" si="65"/>
        <v>0</v>
      </c>
      <c r="H295" s="576">
        <f t="shared" si="65"/>
        <v>0</v>
      </c>
      <c r="I295" s="576">
        <f t="shared" si="65"/>
        <v>0</v>
      </c>
      <c r="J295" s="577">
        <f t="shared" si="65"/>
        <v>0</v>
      </c>
      <c r="K295" s="1527">
        <f t="shared" si="52"/>
      </c>
      <c r="L295" s="1361" t="s">
        <v>1667</v>
      </c>
      <c r="M295" s="2017"/>
      <c r="N295" s="350"/>
      <c r="O295" s="350"/>
      <c r="P295" s="350"/>
      <c r="Q295" s="350"/>
      <c r="R295" s="350"/>
      <c r="S295" s="350"/>
      <c r="T295" s="350"/>
      <c r="U295" s="350"/>
      <c r="V295" s="350"/>
      <c r="W295" s="350"/>
      <c r="X295" s="350"/>
      <c r="Y295" s="350"/>
      <c r="Z295" s="350"/>
    </row>
    <row r="296" spans="1:26" s="362" customFormat="1" ht="18.75" customHeight="1">
      <c r="A296" s="9">
        <v>810</v>
      </c>
      <c r="B296" s="1249"/>
      <c r="C296" s="1250">
        <v>5701</v>
      </c>
      <c r="D296" s="1251" t="s">
        <v>1303</v>
      </c>
      <c r="E296" s="620">
        <f aca="true" t="shared" si="66" ref="E296:J298">SUMIF($C$609:$C$12278,$C296,E$609:E$12278)</f>
        <v>0</v>
      </c>
      <c r="F296" s="628">
        <f t="shared" si="66"/>
        <v>0</v>
      </c>
      <c r="G296" s="578">
        <f t="shared" si="66"/>
        <v>0</v>
      </c>
      <c r="H296" s="579">
        <f t="shared" si="66"/>
        <v>0</v>
      </c>
      <c r="I296" s="579">
        <f t="shared" si="66"/>
        <v>0</v>
      </c>
      <c r="J296" s="580">
        <f t="shared" si="66"/>
        <v>0</v>
      </c>
      <c r="K296" s="1527">
        <f t="shared" si="52"/>
      </c>
      <c r="L296" s="1361" t="s">
        <v>1669</v>
      </c>
      <c r="M296" s="2017"/>
      <c r="N296" s="350"/>
      <c r="O296" s="350"/>
      <c r="P296" s="350"/>
      <c r="Q296" s="350"/>
      <c r="R296" s="350"/>
      <c r="S296" s="350"/>
      <c r="T296" s="350"/>
      <c r="U296" s="350"/>
      <c r="V296" s="350"/>
      <c r="W296" s="350"/>
      <c r="X296" s="350"/>
      <c r="Y296" s="350"/>
      <c r="Z296" s="350"/>
    </row>
    <row r="297" spans="1:26" s="362" customFormat="1" ht="18.75" customHeight="1">
      <c r="A297" s="9">
        <v>815</v>
      </c>
      <c r="B297" s="1249"/>
      <c r="C297" s="1256">
        <v>5702</v>
      </c>
      <c r="D297" s="1257" t="s">
        <v>1304</v>
      </c>
      <c r="E297" s="624">
        <f t="shared" si="66"/>
        <v>0</v>
      </c>
      <c r="F297" s="631">
        <f t="shared" si="66"/>
        <v>0</v>
      </c>
      <c r="G297" s="587">
        <f t="shared" si="66"/>
        <v>0</v>
      </c>
      <c r="H297" s="588">
        <f t="shared" si="66"/>
        <v>0</v>
      </c>
      <c r="I297" s="588">
        <f t="shared" si="66"/>
        <v>0</v>
      </c>
      <c r="J297" s="589">
        <f t="shared" si="66"/>
        <v>0</v>
      </c>
      <c r="K297" s="1527">
        <f t="shared" si="52"/>
      </c>
      <c r="L297" s="1361" t="s">
        <v>1666</v>
      </c>
      <c r="M297" s="2022"/>
      <c r="N297" s="361"/>
      <c r="O297" s="361"/>
      <c r="P297" s="361"/>
      <c r="Q297" s="361"/>
      <c r="R297" s="361"/>
      <c r="S297" s="361"/>
      <c r="T297" s="361"/>
      <c r="U297" s="361"/>
      <c r="V297" s="361"/>
      <c r="W297" s="361"/>
      <c r="X297" s="361"/>
      <c r="Y297" s="361"/>
      <c r="Z297" s="361"/>
    </row>
    <row r="298" spans="1:69" s="358" customFormat="1" ht="18.75" customHeight="1">
      <c r="A298" s="13">
        <v>525</v>
      </c>
      <c r="B298" s="1201"/>
      <c r="C298" s="1258">
        <v>4071</v>
      </c>
      <c r="D298" s="1259" t="s">
        <v>1601</v>
      </c>
      <c r="E298" s="640">
        <f t="shared" si="66"/>
        <v>0</v>
      </c>
      <c r="F298" s="641">
        <f t="shared" si="66"/>
        <v>0</v>
      </c>
      <c r="G298" s="602">
        <f t="shared" si="66"/>
        <v>0</v>
      </c>
      <c r="H298" s="603">
        <f t="shared" si="66"/>
        <v>0</v>
      </c>
      <c r="I298" s="603">
        <f t="shared" si="66"/>
        <v>0</v>
      </c>
      <c r="J298" s="604">
        <f t="shared" si="66"/>
        <v>0</v>
      </c>
      <c r="K298" s="1527">
        <f t="shared" si="52"/>
      </c>
      <c r="L298" s="1361" t="s">
        <v>1670</v>
      </c>
      <c r="M298" s="2022"/>
      <c r="N298" s="362"/>
      <c r="O298" s="362"/>
      <c r="P298" s="362"/>
      <c r="Q298" s="362"/>
      <c r="R298" s="362"/>
      <c r="S298" s="362"/>
      <c r="T298" s="362"/>
      <c r="U298" s="362"/>
      <c r="V298" s="362"/>
      <c r="W298" s="362"/>
      <c r="X298" s="362"/>
      <c r="Y298" s="362"/>
      <c r="Z298" s="362"/>
      <c r="AA298" s="355"/>
      <c r="AB298" s="356"/>
      <c r="AC298" s="355"/>
      <c r="AD298" s="355"/>
      <c r="AE298" s="356"/>
      <c r="AF298" s="355"/>
      <c r="AG298" s="355"/>
      <c r="AH298" s="356"/>
      <c r="AI298" s="363"/>
      <c r="AJ298" s="363"/>
      <c r="AK298" s="364"/>
      <c r="AL298" s="355"/>
      <c r="AM298" s="355"/>
      <c r="AN298" s="356"/>
      <c r="AO298" s="355"/>
      <c r="AP298" s="355"/>
      <c r="AQ298" s="356"/>
      <c r="AR298" s="355"/>
      <c r="AS298" s="355"/>
      <c r="AT298" s="356"/>
      <c r="AU298" s="355"/>
      <c r="AV298" s="355"/>
      <c r="AW298" s="356"/>
      <c r="AX298" s="355"/>
      <c r="AY298" s="355"/>
      <c r="AZ298" s="357"/>
      <c r="BA298" s="355"/>
      <c r="BB298" s="355"/>
      <c r="BC298" s="356"/>
      <c r="BD298" s="355"/>
      <c r="BE298" s="355"/>
      <c r="BF298" s="356"/>
      <c r="BG298" s="355"/>
      <c r="BH298" s="356"/>
      <c r="BI298" s="357"/>
      <c r="BJ298" s="356"/>
      <c r="BK298" s="356"/>
      <c r="BL298" s="355"/>
      <c r="BM298" s="355"/>
      <c r="BN298" s="356"/>
      <c r="BO298" s="355"/>
      <c r="BQ298" s="355"/>
    </row>
    <row r="299" spans="1:26" s="352" customFormat="1" ht="18.75" customHeight="1">
      <c r="A299" s="8">
        <v>820</v>
      </c>
      <c r="B299" s="1385">
        <v>98</v>
      </c>
      <c r="C299" s="2251" t="s">
        <v>1306</v>
      </c>
      <c r="D299" s="2217"/>
      <c r="E299" s="463">
        <f aca="true" t="shared" si="67" ref="E299:J299">SUMIF($B$609:$B$12278,$B299,E$609:E$12278)</f>
        <v>0</v>
      </c>
      <c r="F299" s="464">
        <f t="shared" si="67"/>
        <v>0</v>
      </c>
      <c r="G299" s="763">
        <f t="shared" si="67"/>
        <v>0</v>
      </c>
      <c r="H299" s="764">
        <f t="shared" si="67"/>
        <v>0</v>
      </c>
      <c r="I299" s="764">
        <f t="shared" si="67"/>
        <v>0</v>
      </c>
      <c r="J299" s="765">
        <f t="shared" si="67"/>
        <v>0</v>
      </c>
      <c r="K299" s="1527">
        <f t="shared" si="52"/>
      </c>
      <c r="L299" s="1361" t="s">
        <v>1659</v>
      </c>
      <c r="M299" s="2020"/>
      <c r="N299" s="355"/>
      <c r="O299" s="355"/>
      <c r="P299" s="355"/>
      <c r="Q299" s="355"/>
      <c r="R299" s="355"/>
      <c r="S299" s="355"/>
      <c r="T299" s="355"/>
      <c r="U299" s="355"/>
      <c r="V299" s="355"/>
      <c r="W299" s="355"/>
      <c r="X299" s="355"/>
      <c r="Y299" s="355"/>
      <c r="Z299" s="355"/>
    </row>
    <row r="300" spans="1:26" ht="8.25" customHeight="1">
      <c r="A300" s="9">
        <v>821</v>
      </c>
      <c r="B300" s="1264"/>
      <c r="C300" s="1265"/>
      <c r="D300" s="1262"/>
      <c r="E300" s="642"/>
      <c r="F300" s="642"/>
      <c r="G300" s="385"/>
      <c r="H300" s="385"/>
      <c r="I300" s="385"/>
      <c r="J300" s="386"/>
      <c r="K300" s="1527">
        <f t="shared" si="52"/>
      </c>
      <c r="L300" s="1361"/>
      <c r="M300" s="2022"/>
      <c r="N300" s="362"/>
      <c r="O300" s="362"/>
      <c r="P300" s="362"/>
      <c r="Q300" s="362"/>
      <c r="R300" s="362"/>
      <c r="S300" s="362"/>
      <c r="T300" s="362"/>
      <c r="U300" s="362"/>
      <c r="V300" s="362"/>
      <c r="W300" s="362"/>
      <c r="X300" s="362"/>
      <c r="Y300" s="362"/>
      <c r="Z300" s="362"/>
    </row>
    <row r="301" spans="1:26" ht="8.25" customHeight="1">
      <c r="A301" s="9">
        <v>822</v>
      </c>
      <c r="B301" s="1267"/>
      <c r="C301" s="1121"/>
      <c r="D301" s="1262"/>
      <c r="E301" s="642"/>
      <c r="F301" s="642"/>
      <c r="G301" s="385"/>
      <c r="H301" s="385"/>
      <c r="I301" s="385"/>
      <c r="J301" s="386"/>
      <c r="K301" s="1527">
        <f t="shared" si="52"/>
      </c>
      <c r="L301" s="1362"/>
      <c r="N301" s="352"/>
      <c r="O301" s="352"/>
      <c r="P301" s="352"/>
      <c r="Q301" s="352"/>
      <c r="R301" s="352"/>
      <c r="S301" s="352"/>
      <c r="T301" s="352"/>
      <c r="U301" s="352"/>
      <c r="V301" s="352"/>
      <c r="W301" s="352"/>
      <c r="X301" s="352"/>
      <c r="Y301" s="352"/>
      <c r="Z301" s="352"/>
    </row>
    <row r="302" spans="1:12" ht="8.25" customHeight="1">
      <c r="A302" s="9">
        <v>823</v>
      </c>
      <c r="B302" s="1267"/>
      <c r="C302" s="1121"/>
      <c r="D302" s="1262"/>
      <c r="E302" s="642"/>
      <c r="F302" s="642"/>
      <c r="G302" s="385"/>
      <c r="H302" s="385"/>
      <c r="I302" s="385"/>
      <c r="J302" s="386"/>
      <c r="K302" s="1527">
        <f t="shared" si="52"/>
      </c>
      <c r="L302" s="1362"/>
    </row>
    <row r="303" spans="1:12" ht="20.25" customHeight="1" thickBot="1">
      <c r="A303" s="9">
        <v>825</v>
      </c>
      <c r="B303" s="1386" t="s">
        <v>1267</v>
      </c>
      <c r="C303" s="1270" t="s">
        <v>754</v>
      </c>
      <c r="D303" s="1387" t="s">
        <v>1602</v>
      </c>
      <c r="E303" s="477">
        <f aca="true" t="shared" si="68" ref="E303:J303">SUMIF($C$609:$C$12278,$C303,E$609:E$12278)</f>
        <v>9669200</v>
      </c>
      <c r="F303" s="478">
        <f t="shared" si="68"/>
        <v>1621894</v>
      </c>
      <c r="G303" s="758">
        <f t="shared" si="68"/>
        <v>1179379</v>
      </c>
      <c r="H303" s="759">
        <f t="shared" si="68"/>
        <v>0</v>
      </c>
      <c r="I303" s="759">
        <f t="shared" si="68"/>
        <v>43420</v>
      </c>
      <c r="J303" s="760">
        <f t="shared" si="68"/>
        <v>399095</v>
      </c>
      <c r="K303" s="4">
        <v>1</v>
      </c>
      <c r="L303" s="1359"/>
    </row>
    <row r="304" spans="1:12" ht="16.5" customHeight="1" thickTop="1">
      <c r="A304" s="9"/>
      <c r="B304" s="1272"/>
      <c r="C304" s="1273"/>
      <c r="D304" s="1124"/>
      <c r="E304" s="774"/>
      <c r="F304" s="774"/>
      <c r="G304" s="774"/>
      <c r="H304" s="774"/>
      <c r="I304" s="774"/>
      <c r="J304" s="774"/>
      <c r="K304" s="4">
        <v>1</v>
      </c>
      <c r="L304" s="1359"/>
    </row>
    <row r="305" spans="1:12" ht="15">
      <c r="A305" s="9"/>
      <c r="B305" s="774"/>
      <c r="C305" s="1121"/>
      <c r="D305" s="1147"/>
      <c r="E305" s="775"/>
      <c r="F305" s="775"/>
      <c r="G305" s="775"/>
      <c r="H305" s="775"/>
      <c r="I305" s="775"/>
      <c r="J305" s="775"/>
      <c r="K305" s="4">
        <v>1</v>
      </c>
      <c r="L305" s="1359"/>
    </row>
    <row r="306" spans="1:12" ht="15.75">
      <c r="A306" s="9"/>
      <c r="B306" s="1388"/>
      <c r="C306" s="1389"/>
      <c r="D306" s="1390"/>
      <c r="E306" s="1391"/>
      <c r="F306" s="1391"/>
      <c r="G306" s="1391"/>
      <c r="H306" s="1391"/>
      <c r="I306" s="1391"/>
      <c r="J306" s="1391"/>
      <c r="K306" s="212">
        <f aca="true" t="shared" si="69" ref="K306:K347">(IF($E$303&lt;&gt;0,$K$2,IF($F$303&lt;&gt;0,$K$2,"")))</f>
        <v>1</v>
      </c>
      <c r="L306" s="1359"/>
    </row>
    <row r="307" spans="1:12" ht="15.75">
      <c r="A307" s="9"/>
      <c r="B307" s="774"/>
      <c r="C307" s="1121"/>
      <c r="D307" s="1147"/>
      <c r="E307" s="775"/>
      <c r="F307" s="775"/>
      <c r="G307" s="775"/>
      <c r="H307" s="775"/>
      <c r="I307" s="775"/>
      <c r="J307" s="775"/>
      <c r="K307" s="212">
        <f t="shared" si="69"/>
        <v>1</v>
      </c>
      <c r="L307" s="1359"/>
    </row>
    <row r="308" spans="1:12" ht="20.25" customHeight="1">
      <c r="A308" s="9"/>
      <c r="B308" s="2208" t="str">
        <f>$B$7</f>
        <v>ОТЧЕТНИ ДАННИ ПО ЕБК ЗА ИЗПЪЛНЕНИЕТО НА БЮДЖЕТА</v>
      </c>
      <c r="C308" s="2209"/>
      <c r="D308" s="2209"/>
      <c r="E308" s="775"/>
      <c r="F308" s="775"/>
      <c r="G308" s="775"/>
      <c r="H308" s="775"/>
      <c r="I308" s="775"/>
      <c r="J308" s="1146"/>
      <c r="K308" s="212">
        <f t="shared" si="69"/>
        <v>1</v>
      </c>
      <c r="L308" s="1359"/>
    </row>
    <row r="309" spans="1:12" ht="18.75" customHeight="1">
      <c r="A309" s="9"/>
      <c r="B309" s="774"/>
      <c r="C309" s="1121"/>
      <c r="D309" s="1147"/>
      <c r="E309" s="1148" t="s">
        <v>1604</v>
      </c>
      <c r="F309" s="1148" t="s">
        <v>889</v>
      </c>
      <c r="G309" s="775"/>
      <c r="H309" s="775"/>
      <c r="I309" s="775"/>
      <c r="J309" s="775"/>
      <c r="K309" s="212">
        <f t="shared" si="69"/>
        <v>1</v>
      </c>
      <c r="L309" s="1359"/>
    </row>
    <row r="310" spans="1:12" ht="27" customHeight="1">
      <c r="A310" s="9"/>
      <c r="B310" s="2210" t="str">
        <f>$B$9</f>
        <v>КОМИСИЯ ЗА РЕГУЛИРАНЕ НА СЪОБЩЕНИЯТА</v>
      </c>
      <c r="C310" s="2211"/>
      <c r="D310" s="2212"/>
      <c r="E310" s="1066">
        <f>$E$9</f>
        <v>43101</v>
      </c>
      <c r="F310" s="1152">
        <f>$F$9</f>
        <v>43190</v>
      </c>
      <c r="G310" s="775"/>
      <c r="H310" s="775"/>
      <c r="I310" s="775"/>
      <c r="J310" s="775"/>
      <c r="K310" s="212">
        <f t="shared" si="69"/>
        <v>1</v>
      </c>
      <c r="L310" s="1359"/>
    </row>
    <row r="311" spans="1:12" ht="15.75">
      <c r="A311" s="9"/>
      <c r="B311" s="1153" t="str">
        <f>$B$10</f>
        <v>                                                            (наименование на разпоредителя с бюджет)</v>
      </c>
      <c r="C311" s="774"/>
      <c r="D311" s="1124"/>
      <c r="E311" s="1154"/>
      <c r="F311" s="1154"/>
      <c r="G311" s="775"/>
      <c r="H311" s="775"/>
      <c r="I311" s="775"/>
      <c r="J311" s="775"/>
      <c r="K311" s="212">
        <f t="shared" si="69"/>
        <v>1</v>
      </c>
      <c r="L311" s="1359"/>
    </row>
    <row r="312" spans="1:12" ht="5.25" customHeight="1">
      <c r="A312" s="9"/>
      <c r="B312" s="1153"/>
      <c r="C312" s="774"/>
      <c r="D312" s="1124"/>
      <c r="E312" s="1153"/>
      <c r="F312" s="774"/>
      <c r="G312" s="775"/>
      <c r="H312" s="775"/>
      <c r="I312" s="775"/>
      <c r="J312" s="775"/>
      <c r="K312" s="212">
        <f t="shared" si="69"/>
        <v>1</v>
      </c>
      <c r="L312" s="1359"/>
    </row>
    <row r="313" spans="1:12" ht="27" customHeight="1">
      <c r="A313" s="9"/>
      <c r="B313" s="2237" t="str">
        <f>$B$12</f>
        <v>Комисия за регулиране на съобщенията</v>
      </c>
      <c r="C313" s="2238"/>
      <c r="D313" s="2239"/>
      <c r="E313" s="1155" t="s">
        <v>1249</v>
      </c>
      <c r="F313" s="1902" t="str">
        <f>$F$12</f>
        <v>4300</v>
      </c>
      <c r="G313" s="775"/>
      <c r="H313" s="775"/>
      <c r="I313" s="775"/>
      <c r="J313" s="775"/>
      <c r="K313" s="212">
        <f t="shared" si="69"/>
        <v>1</v>
      </c>
      <c r="L313" s="1359"/>
    </row>
    <row r="314" spans="1:12" ht="15.75">
      <c r="A314" s="9"/>
      <c r="B314" s="1157" t="str">
        <f>$B$13</f>
        <v>                                             (наименование на първостепенния разпоредител с бюджет)</v>
      </c>
      <c r="C314" s="774"/>
      <c r="D314" s="1124"/>
      <c r="E314" s="1281"/>
      <c r="F314" s="775"/>
      <c r="G314" s="775"/>
      <c r="H314" s="775"/>
      <c r="I314" s="775"/>
      <c r="J314" s="775"/>
      <c r="K314" s="212">
        <f t="shared" si="69"/>
        <v>1</v>
      </c>
      <c r="L314" s="1360" t="s">
        <v>1654</v>
      </c>
    </row>
    <row r="315" spans="1:12" ht="21.75" customHeight="1">
      <c r="A315" s="9"/>
      <c r="B315" s="1153"/>
      <c r="C315" s="774"/>
      <c r="D315" s="1277" t="s">
        <v>1410</v>
      </c>
      <c r="E315" s="1278">
        <f>$E$15</f>
        <v>0</v>
      </c>
      <c r="F315" s="1501" t="str">
        <f>+$F$15</f>
        <v>БЮДЖЕТ</v>
      </c>
      <c r="G315" s="775"/>
      <c r="H315" s="385"/>
      <c r="I315" s="385"/>
      <c r="J315" s="385"/>
      <c r="K315" s="212">
        <f t="shared" si="69"/>
        <v>1</v>
      </c>
      <c r="L315" s="1361" t="s">
        <v>1655</v>
      </c>
    </row>
    <row r="316" spans="1:12" ht="15.75">
      <c r="A316" s="9"/>
      <c r="B316" s="774"/>
      <c r="C316" s="1121"/>
      <c r="D316" s="1147"/>
      <c r="E316" s="1364"/>
      <c r="F316" s="775"/>
      <c r="G316" s="775"/>
      <c r="H316" s="775"/>
      <c r="I316" s="775"/>
      <c r="J316" s="775"/>
      <c r="K316" s="212">
        <f t="shared" si="69"/>
        <v>1</v>
      </c>
      <c r="L316" s="1361" t="s">
        <v>1656</v>
      </c>
    </row>
    <row r="317" spans="1:12" ht="18.75" customHeight="1" thickBot="1">
      <c r="A317" s="9"/>
      <c r="B317" s="1154"/>
      <c r="C317" s="1121"/>
      <c r="D317" s="1280" t="s">
        <v>2168</v>
      </c>
      <c r="E317" s="775"/>
      <c r="F317" s="1281"/>
      <c r="G317" s="385"/>
      <c r="H317" s="385"/>
      <c r="I317" s="385"/>
      <c r="J317" s="385"/>
      <c r="K317" s="212">
        <f t="shared" si="69"/>
        <v>1</v>
      </c>
      <c r="L317" s="1361" t="s">
        <v>1657</v>
      </c>
    </row>
    <row r="318" spans="1:12" ht="20.25" customHeight="1">
      <c r="A318" s="11"/>
      <c r="B318" s="1282" t="s">
        <v>1308</v>
      </c>
      <c r="C318" s="1283" t="s">
        <v>1603</v>
      </c>
      <c r="D318" s="1284" t="s">
        <v>1310</v>
      </c>
      <c r="E318" s="1285" t="s">
        <v>1311</v>
      </c>
      <c r="F318" s="1286" t="s">
        <v>1312</v>
      </c>
      <c r="G318" s="385"/>
      <c r="H318" s="385"/>
      <c r="I318" s="385"/>
      <c r="J318" s="385"/>
      <c r="K318" s="212">
        <f t="shared" si="69"/>
        <v>1</v>
      </c>
      <c r="L318" s="1361" t="s">
        <v>1658</v>
      </c>
    </row>
    <row r="319" spans="1:12" ht="18.75" customHeight="1">
      <c r="A319" s="11">
        <v>905</v>
      </c>
      <c r="B319" s="1287"/>
      <c r="C319" s="1288" t="s">
        <v>1313</v>
      </c>
      <c r="D319" s="1289" t="s">
        <v>1314</v>
      </c>
      <c r="E319" s="788">
        <f aca="true" t="shared" si="70" ref="E319:F324">SUMIF($C$609:$C$12278,$C319,E$609:E$12278)</f>
        <v>255</v>
      </c>
      <c r="F319" s="789">
        <f t="shared" si="70"/>
        <v>204</v>
      </c>
      <c r="G319" s="385"/>
      <c r="H319" s="385"/>
      <c r="I319" s="385"/>
      <c r="J319" s="385"/>
      <c r="K319" s="212">
        <f t="shared" si="69"/>
        <v>1</v>
      </c>
      <c r="L319" s="1361" t="s">
        <v>1659</v>
      </c>
    </row>
    <row r="320" spans="1:12" ht="18.75" customHeight="1">
      <c r="A320" s="11">
        <v>906</v>
      </c>
      <c r="B320" s="1290"/>
      <c r="C320" s="1291" t="s">
        <v>1315</v>
      </c>
      <c r="D320" s="1292" t="s">
        <v>1316</v>
      </c>
      <c r="E320" s="784">
        <f t="shared" si="70"/>
        <v>25</v>
      </c>
      <c r="F320" s="785">
        <f t="shared" si="70"/>
        <v>21</v>
      </c>
      <c r="G320" s="385"/>
      <c r="H320" s="385"/>
      <c r="I320" s="385"/>
      <c r="J320" s="385"/>
      <c r="K320" s="212">
        <f t="shared" si="69"/>
        <v>1</v>
      </c>
      <c r="L320" s="1361" t="s">
        <v>1660</v>
      </c>
    </row>
    <row r="321" spans="1:12" ht="18.75" customHeight="1">
      <c r="A321" s="11">
        <v>907</v>
      </c>
      <c r="B321" s="1293"/>
      <c r="C321" s="1294" t="s">
        <v>1317</v>
      </c>
      <c r="D321" s="1295" t="s">
        <v>1318</v>
      </c>
      <c r="E321" s="786">
        <f t="shared" si="70"/>
        <v>230</v>
      </c>
      <c r="F321" s="787">
        <f t="shared" si="70"/>
        <v>183</v>
      </c>
      <c r="G321" s="385"/>
      <c r="H321" s="385"/>
      <c r="I321" s="385"/>
      <c r="J321" s="385"/>
      <c r="K321" s="212">
        <f t="shared" si="69"/>
        <v>1</v>
      </c>
      <c r="L321" s="1361" t="s">
        <v>1661</v>
      </c>
    </row>
    <row r="322" spans="1:12" ht="18.75" customHeight="1">
      <c r="A322" s="11">
        <v>910</v>
      </c>
      <c r="B322" s="1287"/>
      <c r="C322" s="1288" t="s">
        <v>1319</v>
      </c>
      <c r="D322" s="1289" t="s">
        <v>1320</v>
      </c>
      <c r="E322" s="788">
        <f t="shared" si="70"/>
        <v>255</v>
      </c>
      <c r="F322" s="789">
        <f t="shared" si="70"/>
        <v>201</v>
      </c>
      <c r="G322" s="385"/>
      <c r="H322" s="385"/>
      <c r="I322" s="385"/>
      <c r="J322" s="385"/>
      <c r="K322" s="212">
        <f t="shared" si="69"/>
        <v>1</v>
      </c>
      <c r="L322" s="1361" t="s">
        <v>1662</v>
      </c>
    </row>
    <row r="323" spans="1:12" ht="18.75" customHeight="1">
      <c r="A323" s="11">
        <v>911</v>
      </c>
      <c r="B323" s="1290"/>
      <c r="C323" s="1291" t="s">
        <v>1321</v>
      </c>
      <c r="D323" s="1292" t="s">
        <v>1316</v>
      </c>
      <c r="E323" s="784">
        <f t="shared" si="70"/>
        <v>25</v>
      </c>
      <c r="F323" s="785">
        <f t="shared" si="70"/>
        <v>21</v>
      </c>
      <c r="G323" s="385"/>
      <c r="H323" s="385"/>
      <c r="I323" s="385"/>
      <c r="J323" s="385"/>
      <c r="K323" s="212">
        <f t="shared" si="69"/>
        <v>1</v>
      </c>
      <c r="L323" s="1361" t="s">
        <v>1657</v>
      </c>
    </row>
    <row r="324" spans="1:12" ht="18.75" customHeight="1">
      <c r="A324" s="11">
        <v>912</v>
      </c>
      <c r="B324" s="1296"/>
      <c r="C324" s="1297" t="s">
        <v>1322</v>
      </c>
      <c r="D324" s="1298" t="s">
        <v>1323</v>
      </c>
      <c r="E324" s="790">
        <f t="shared" si="70"/>
        <v>230</v>
      </c>
      <c r="F324" s="791">
        <f t="shared" si="70"/>
        <v>180</v>
      </c>
      <c r="G324" s="385"/>
      <c r="H324" s="385"/>
      <c r="I324" s="385"/>
      <c r="J324" s="385"/>
      <c r="K324" s="212">
        <f t="shared" si="69"/>
        <v>1</v>
      </c>
      <c r="L324" s="1361" t="s">
        <v>1663</v>
      </c>
    </row>
    <row r="325" spans="1:12" ht="18.75" customHeight="1">
      <c r="A325" s="11">
        <v>920</v>
      </c>
      <c r="B325" s="1287"/>
      <c r="C325" s="1288" t="s">
        <v>1324</v>
      </c>
      <c r="D325" s="1289" t="s">
        <v>1325</v>
      </c>
      <c r="E325" s="792">
        <f>IF(ISERROR(E188/(E322+E334)),0,E188/(E322+E334))</f>
        <v>17509.803921568626</v>
      </c>
      <c r="F325" s="793">
        <f>IF(ISERROR(J188/(F322+F334)),0,F188/(F322+F334))</f>
        <v>5048.298507462687</v>
      </c>
      <c r="G325" s="385"/>
      <c r="H325" s="385"/>
      <c r="I325" s="385"/>
      <c r="J325" s="385"/>
      <c r="K325" s="212">
        <f t="shared" si="69"/>
        <v>1</v>
      </c>
      <c r="L325" s="1361" t="s">
        <v>1659</v>
      </c>
    </row>
    <row r="326" spans="1:12" ht="18.75" customHeight="1">
      <c r="A326" s="11">
        <v>921</v>
      </c>
      <c r="B326" s="1290"/>
      <c r="C326" s="1299" t="s">
        <v>1326</v>
      </c>
      <c r="D326" s="1300" t="s">
        <v>1327</v>
      </c>
      <c r="E326" s="794">
        <f>IF(ISERROR(E189/(E323+E334)),0,E189/(E323+E334))</f>
        <v>28960</v>
      </c>
      <c r="F326" s="795">
        <f>IF(ISERROR(J189/(F323+F334)),0,F189/(F323+F334))</f>
        <v>9102.333333333334</v>
      </c>
      <c r="G326" s="385"/>
      <c r="H326" s="385"/>
      <c r="I326" s="385"/>
      <c r="J326" s="385"/>
      <c r="K326" s="212">
        <f t="shared" si="69"/>
        <v>1</v>
      </c>
      <c r="L326" s="1361" t="s">
        <v>1664</v>
      </c>
    </row>
    <row r="327" spans="1:12" ht="18.75" customHeight="1">
      <c r="A327" s="11">
        <v>922</v>
      </c>
      <c r="B327" s="1296"/>
      <c r="C327" s="1294" t="s">
        <v>1328</v>
      </c>
      <c r="D327" s="1295" t="s">
        <v>1329</v>
      </c>
      <c r="E327" s="796">
        <f>IF(ISERROR(E190/(E324)),0,E190/(E324))</f>
        <v>16265.217391304348</v>
      </c>
      <c r="F327" s="797">
        <f>IF(ISERROR(J190/(F324)),0,F190/(F324))</f>
        <v>4575.327777777778</v>
      </c>
      <c r="G327" s="385"/>
      <c r="H327" s="385"/>
      <c r="I327" s="385"/>
      <c r="J327" s="385"/>
      <c r="K327" s="212">
        <f t="shared" si="69"/>
        <v>1</v>
      </c>
      <c r="L327" s="1361" t="s">
        <v>1668</v>
      </c>
    </row>
    <row r="328" spans="1:12" ht="18.75" customHeight="1">
      <c r="A328" s="11">
        <v>930</v>
      </c>
      <c r="B328" s="1287"/>
      <c r="C328" s="1288" t="s">
        <v>1330</v>
      </c>
      <c r="D328" s="1289" t="s">
        <v>1331</v>
      </c>
      <c r="E328" s="788">
        <f aca="true" t="shared" si="71" ref="E328:F331">SUMIF($C$609:$C$12278,$C328,E$609:E$12278)</f>
        <v>32</v>
      </c>
      <c r="F328" s="789">
        <f t="shared" si="71"/>
        <v>32</v>
      </c>
      <c r="G328" s="385"/>
      <c r="H328" s="385"/>
      <c r="I328" s="385"/>
      <c r="J328" s="385"/>
      <c r="K328" s="212">
        <f t="shared" si="69"/>
        <v>1</v>
      </c>
      <c r="L328" s="1361" t="s">
        <v>1665</v>
      </c>
    </row>
    <row r="329" spans="1:12" ht="18.75" customHeight="1">
      <c r="A329" s="11">
        <v>931</v>
      </c>
      <c r="B329" s="1290"/>
      <c r="C329" s="1299" t="s">
        <v>1332</v>
      </c>
      <c r="D329" s="1300" t="s">
        <v>1333</v>
      </c>
      <c r="E329" s="798">
        <f t="shared" si="71"/>
        <v>23</v>
      </c>
      <c r="F329" s="799">
        <f t="shared" si="71"/>
        <v>23</v>
      </c>
      <c r="G329" s="385"/>
      <c r="H329" s="385"/>
      <c r="I329" s="385"/>
      <c r="J329" s="385"/>
      <c r="K329" s="212">
        <f t="shared" si="69"/>
        <v>1</v>
      </c>
      <c r="L329" s="1361" t="s">
        <v>1657</v>
      </c>
    </row>
    <row r="330" spans="1:12" ht="18.75" customHeight="1">
      <c r="A330" s="11">
        <v>932</v>
      </c>
      <c r="B330" s="1296"/>
      <c r="C330" s="1294" t="s">
        <v>1334</v>
      </c>
      <c r="D330" s="1295" t="s">
        <v>1335</v>
      </c>
      <c r="E330" s="786">
        <f t="shared" si="71"/>
        <v>0</v>
      </c>
      <c r="F330" s="787">
        <f t="shared" si="71"/>
        <v>0</v>
      </c>
      <c r="G330" s="385"/>
      <c r="H330" s="385"/>
      <c r="I330" s="385"/>
      <c r="J330" s="385"/>
      <c r="K330" s="212">
        <f t="shared" si="69"/>
        <v>1</v>
      </c>
      <c r="L330" s="1361" t="s">
        <v>1660</v>
      </c>
    </row>
    <row r="331" spans="1:12" ht="18.75" customHeight="1">
      <c r="A331" s="10">
        <v>935</v>
      </c>
      <c r="B331" s="1287"/>
      <c r="C331" s="1288" t="s">
        <v>1336</v>
      </c>
      <c r="D331" s="1289" t="s">
        <v>571</v>
      </c>
      <c r="E331" s="788">
        <f t="shared" si="71"/>
        <v>0</v>
      </c>
      <c r="F331" s="789">
        <f t="shared" si="71"/>
        <v>0</v>
      </c>
      <c r="G331" s="385"/>
      <c r="H331" s="385"/>
      <c r="I331" s="385"/>
      <c r="J331" s="385"/>
      <c r="K331" s="212">
        <f t="shared" si="69"/>
        <v>1</v>
      </c>
      <c r="L331" s="1361" t="s">
        <v>1661</v>
      </c>
    </row>
    <row r="332" spans="1:12" ht="18.75" customHeight="1">
      <c r="A332" s="10">
        <v>940</v>
      </c>
      <c r="B332" s="1287"/>
      <c r="C332" s="1288" t="s">
        <v>572</v>
      </c>
      <c r="D332" s="1289" t="s">
        <v>1547</v>
      </c>
      <c r="E332" s="1502"/>
      <c r="F332" s="1503"/>
      <c r="G332" s="385"/>
      <c r="H332" s="385"/>
      <c r="I332" s="385"/>
      <c r="J332" s="385"/>
      <c r="K332" s="212">
        <f t="shared" si="69"/>
        <v>1</v>
      </c>
      <c r="L332" s="1361" t="s">
        <v>1654</v>
      </c>
    </row>
    <row r="333" spans="1:12" ht="18.75" customHeight="1">
      <c r="A333" s="10">
        <v>950</v>
      </c>
      <c r="B333" s="1287"/>
      <c r="C333" s="1288" t="s">
        <v>573</v>
      </c>
      <c r="D333" s="1289" t="s">
        <v>1545</v>
      </c>
      <c r="E333" s="788">
        <f aca="true" t="shared" si="72" ref="E333:F340">SUMIF($C$609:$C$12278,$C333,E$609:E$12278)</f>
        <v>0</v>
      </c>
      <c r="F333" s="789">
        <f t="shared" si="72"/>
        <v>0</v>
      </c>
      <c r="G333" s="385"/>
      <c r="H333" s="385"/>
      <c r="I333" s="385"/>
      <c r="J333" s="385"/>
      <c r="K333" s="212">
        <f t="shared" si="69"/>
        <v>1</v>
      </c>
      <c r="L333" s="1361" t="s">
        <v>1657</v>
      </c>
    </row>
    <row r="334" spans="1:12" ht="18.75" customHeight="1">
      <c r="A334" s="11">
        <v>953</v>
      </c>
      <c r="B334" s="1287"/>
      <c r="C334" s="1288" t="s">
        <v>574</v>
      </c>
      <c r="D334" s="1289" t="s">
        <v>1546</v>
      </c>
      <c r="E334" s="788">
        <f t="shared" si="72"/>
        <v>0</v>
      </c>
      <c r="F334" s="789">
        <f t="shared" si="72"/>
        <v>0</v>
      </c>
      <c r="G334" s="385"/>
      <c r="H334" s="385"/>
      <c r="I334" s="385"/>
      <c r="J334" s="385"/>
      <c r="K334" s="212">
        <f t="shared" si="69"/>
        <v>1</v>
      </c>
      <c r="L334" s="1361" t="s">
        <v>1662</v>
      </c>
    </row>
    <row r="335" spans="1:12" ht="18.75" customHeight="1">
      <c r="A335" s="11">
        <v>954</v>
      </c>
      <c r="B335" s="1287"/>
      <c r="C335" s="1288" t="s">
        <v>575</v>
      </c>
      <c r="D335" s="1289" t="s">
        <v>576</v>
      </c>
      <c r="E335" s="788">
        <f t="shared" si="72"/>
        <v>0</v>
      </c>
      <c r="F335" s="789">
        <f t="shared" si="72"/>
        <v>0</v>
      </c>
      <c r="G335" s="385"/>
      <c r="H335" s="385"/>
      <c r="I335" s="385"/>
      <c r="J335" s="385"/>
      <c r="K335" s="212">
        <f t="shared" si="69"/>
        <v>1</v>
      </c>
      <c r="L335" s="1361" t="s">
        <v>1665</v>
      </c>
    </row>
    <row r="336" spans="1:12" ht="18.75" customHeight="1">
      <c r="A336" s="19">
        <v>955</v>
      </c>
      <c r="B336" s="1287"/>
      <c r="C336" s="1288" t="s">
        <v>577</v>
      </c>
      <c r="D336" s="1289" t="s">
        <v>578</v>
      </c>
      <c r="E336" s="788">
        <f t="shared" si="72"/>
        <v>0</v>
      </c>
      <c r="F336" s="789">
        <f t="shared" si="72"/>
        <v>0</v>
      </c>
      <c r="G336" s="385"/>
      <c r="H336" s="385"/>
      <c r="I336" s="385"/>
      <c r="J336" s="385"/>
      <c r="K336" s="212">
        <f t="shared" si="69"/>
        <v>1</v>
      </c>
      <c r="L336" s="1361" t="s">
        <v>1659</v>
      </c>
    </row>
    <row r="337" spans="1:12" ht="18.75" customHeight="1">
      <c r="A337" s="19">
        <v>956</v>
      </c>
      <c r="B337" s="1287"/>
      <c r="C337" s="1288" t="s">
        <v>579</v>
      </c>
      <c r="D337" s="1289" t="s">
        <v>580</v>
      </c>
      <c r="E337" s="788">
        <f t="shared" si="72"/>
        <v>0</v>
      </c>
      <c r="F337" s="789">
        <f t="shared" si="72"/>
        <v>0</v>
      </c>
      <c r="G337" s="385"/>
      <c r="H337" s="385"/>
      <c r="I337" s="385"/>
      <c r="J337" s="385"/>
      <c r="K337" s="212">
        <f t="shared" si="69"/>
        <v>1</v>
      </c>
      <c r="L337" s="1360"/>
    </row>
    <row r="338" spans="1:12" ht="18.75" customHeight="1">
      <c r="A338" s="14">
        <v>958</v>
      </c>
      <c r="B338" s="1287"/>
      <c r="C338" s="1288" t="s">
        <v>581</v>
      </c>
      <c r="D338" s="1289" t="s">
        <v>582</v>
      </c>
      <c r="E338" s="788">
        <f t="shared" si="72"/>
        <v>0</v>
      </c>
      <c r="F338" s="789">
        <f t="shared" si="72"/>
        <v>0</v>
      </c>
      <c r="G338" s="385"/>
      <c r="H338" s="385"/>
      <c r="I338" s="385"/>
      <c r="J338" s="385"/>
      <c r="K338" s="212">
        <f t="shared" si="69"/>
        <v>1</v>
      </c>
      <c r="L338" s="1361" t="s">
        <v>1658</v>
      </c>
    </row>
    <row r="339" spans="1:12" ht="18.75" customHeight="1">
      <c r="A339" s="14">
        <v>959</v>
      </c>
      <c r="B339" s="1287"/>
      <c r="C339" s="1288" t="s">
        <v>583</v>
      </c>
      <c r="D339" s="1289" t="s">
        <v>584</v>
      </c>
      <c r="E339" s="788">
        <f t="shared" si="72"/>
        <v>0</v>
      </c>
      <c r="F339" s="789">
        <f t="shared" si="72"/>
        <v>0</v>
      </c>
      <c r="G339" s="385"/>
      <c r="H339" s="385"/>
      <c r="I339" s="385"/>
      <c r="J339" s="385"/>
      <c r="K339" s="212">
        <f t="shared" si="69"/>
        <v>1</v>
      </c>
      <c r="L339" s="1361" t="s">
        <v>1668</v>
      </c>
    </row>
    <row r="340" spans="1:12" ht="18.75" customHeight="1" thickBot="1">
      <c r="A340" s="19">
        <v>955</v>
      </c>
      <c r="B340" s="1996"/>
      <c r="C340" s="1302" t="s">
        <v>585</v>
      </c>
      <c r="D340" s="1303" t="s">
        <v>586</v>
      </c>
      <c r="E340" s="1998">
        <f t="shared" si="72"/>
        <v>0</v>
      </c>
      <c r="F340" s="1999">
        <f t="shared" si="72"/>
        <v>0</v>
      </c>
      <c r="G340" s="385"/>
      <c r="H340" s="385"/>
      <c r="I340" s="385"/>
      <c r="J340" s="385"/>
      <c r="K340" s="212">
        <f t="shared" si="69"/>
        <v>1</v>
      </c>
      <c r="L340" s="1361" t="s">
        <v>1659</v>
      </c>
    </row>
    <row r="341" spans="1:12" ht="38.25" customHeight="1" thickTop="1">
      <c r="A341" s="19">
        <v>956</v>
      </c>
      <c r="B341" s="1997" t="s">
        <v>1308</v>
      </c>
      <c r="C341" s="2006" t="s">
        <v>2162</v>
      </c>
      <c r="D341" s="2007" t="s">
        <v>2163</v>
      </c>
      <c r="E341" s="2000" t="s">
        <v>1311</v>
      </c>
      <c r="F341" s="2001" t="s">
        <v>1312</v>
      </c>
      <c r="G341" s="385"/>
      <c r="H341" s="385"/>
      <c r="I341" s="385"/>
      <c r="J341" s="385"/>
      <c r="K341" s="212">
        <f t="shared" si="69"/>
        <v>1</v>
      </c>
      <c r="L341" s="1360"/>
    </row>
    <row r="342" spans="1:12" ht="18.75" customHeight="1">
      <c r="A342" s="14">
        <v>958</v>
      </c>
      <c r="B342" s="1287"/>
      <c r="C342" s="1288" t="s">
        <v>2165</v>
      </c>
      <c r="D342" s="1289" t="s">
        <v>2172</v>
      </c>
      <c r="E342" s="788">
        <f>E343+E344</f>
        <v>1433900</v>
      </c>
      <c r="F342" s="789">
        <f>F343+F344</f>
        <v>38108</v>
      </c>
      <c r="G342" s="385"/>
      <c r="H342" s="385"/>
      <c r="I342" s="385"/>
      <c r="J342" s="385"/>
      <c r="K342" s="212">
        <f t="shared" si="69"/>
        <v>1</v>
      </c>
      <c r="L342" s="1361"/>
    </row>
    <row r="343" spans="1:12" ht="18.75" customHeight="1">
      <c r="A343" s="14">
        <v>959</v>
      </c>
      <c r="B343" s="1287"/>
      <c r="C343" s="2002" t="s">
        <v>2166</v>
      </c>
      <c r="D343" s="2004" t="s">
        <v>2170</v>
      </c>
      <c r="E343" s="788">
        <f>SUMIF($C$609:$C$12278,$C343,E$609:E$12278)</f>
        <v>413900</v>
      </c>
      <c r="F343" s="789">
        <f>SUMIF($C$609:$C$12278,$C343,F$609:F$12278)</f>
        <v>38108</v>
      </c>
      <c r="G343" s="385"/>
      <c r="H343" s="385"/>
      <c r="I343" s="385"/>
      <c r="J343" s="385"/>
      <c r="K343" s="212">
        <f t="shared" si="69"/>
        <v>1</v>
      </c>
      <c r="L343" s="1361"/>
    </row>
    <row r="344" spans="1:12" ht="18.75" customHeight="1" thickBot="1">
      <c r="A344" s="14">
        <v>960</v>
      </c>
      <c r="B344" s="1301"/>
      <c r="C344" s="2003" t="s">
        <v>2167</v>
      </c>
      <c r="D344" s="2005" t="s">
        <v>2171</v>
      </c>
      <c r="E344" s="800">
        <f>SUMIF($C$609:$C$12278,$C344,E$609:E$12278)</f>
        <v>1020000</v>
      </c>
      <c r="F344" s="801">
        <f>SUMIF($C$609:$C$12278,$C344,F$609:F$12278)</f>
        <v>0</v>
      </c>
      <c r="G344" s="385"/>
      <c r="H344" s="385"/>
      <c r="I344" s="385"/>
      <c r="J344" s="385"/>
      <c r="K344" s="212">
        <f t="shared" si="69"/>
        <v>1</v>
      </c>
      <c r="L344" s="1361"/>
    </row>
    <row r="345" spans="1:12" ht="31.5" customHeight="1" thickTop="1">
      <c r="A345" s="14"/>
      <c r="B345" s="1304" t="s">
        <v>887</v>
      </c>
      <c r="C345" s="1305"/>
      <c r="D345" s="1306"/>
      <c r="E345" s="776"/>
      <c r="F345" s="776"/>
      <c r="G345" s="385"/>
      <c r="H345" s="385"/>
      <c r="I345" s="385"/>
      <c r="J345" s="385"/>
      <c r="K345" s="212">
        <f t="shared" si="69"/>
        <v>1</v>
      </c>
      <c r="L345" s="1361"/>
    </row>
    <row r="346" spans="1:12" ht="36" customHeight="1">
      <c r="A346" s="14"/>
      <c r="B346" s="2248" t="s">
        <v>587</v>
      </c>
      <c r="C346" s="2248"/>
      <c r="D346" s="2248"/>
      <c r="E346" s="776"/>
      <c r="F346" s="776"/>
      <c r="G346" s="776"/>
      <c r="H346" s="776"/>
      <c r="I346" s="776"/>
      <c r="J346" s="776"/>
      <c r="K346" s="212">
        <f t="shared" si="69"/>
        <v>1</v>
      </c>
      <c r="L346" s="1359"/>
    </row>
    <row r="347" spans="1:12" ht="18.75" customHeight="1">
      <c r="A347" s="14"/>
      <c r="B347" s="774"/>
      <c r="C347" s="774"/>
      <c r="D347" s="1124"/>
      <c r="E347" s="775"/>
      <c r="F347" s="775"/>
      <c r="G347" s="775"/>
      <c r="H347" s="775"/>
      <c r="I347" s="775"/>
      <c r="J347" s="775"/>
      <c r="K347" s="212">
        <f t="shared" si="69"/>
        <v>1</v>
      </c>
      <c r="L347" s="1359"/>
    </row>
    <row r="348" spans="1:12" ht="18.75" customHeight="1">
      <c r="A348" s="14"/>
      <c r="B348" s="1388"/>
      <c r="C348" s="1388"/>
      <c r="D348" s="1392"/>
      <c r="E348" s="1391"/>
      <c r="F348" s="1391"/>
      <c r="G348" s="1391"/>
      <c r="H348" s="1391"/>
      <c r="I348" s="1391"/>
      <c r="J348" s="1391"/>
      <c r="K348" s="311">
        <v>1</v>
      </c>
      <c r="L348" s="1359"/>
    </row>
    <row r="349" spans="1:12" ht="19.5" customHeight="1">
      <c r="A349" s="14"/>
      <c r="B349" s="774"/>
      <c r="C349" s="1121"/>
      <c r="D349" s="1147"/>
      <c r="E349" s="775"/>
      <c r="F349" s="775"/>
      <c r="G349" s="775"/>
      <c r="H349" s="775"/>
      <c r="I349" s="775"/>
      <c r="J349" s="775"/>
      <c r="K349" s="4">
        <v>1</v>
      </c>
      <c r="L349" s="507"/>
    </row>
    <row r="350" spans="1:12" ht="21" customHeight="1">
      <c r="A350" s="14"/>
      <c r="B350" s="2208" t="str">
        <f>$B$7</f>
        <v>ОТЧЕТНИ ДАННИ ПО ЕБК ЗА ИЗПЪЛНЕНИЕТО НА БЮДЖЕТА</v>
      </c>
      <c r="C350" s="2209"/>
      <c r="D350" s="2209"/>
      <c r="E350" s="775"/>
      <c r="F350" s="775"/>
      <c r="G350" s="775"/>
      <c r="H350" s="775"/>
      <c r="I350" s="775"/>
      <c r="J350" s="1146"/>
      <c r="K350" s="4">
        <v>1</v>
      </c>
      <c r="L350" s="507"/>
    </row>
    <row r="351" spans="1:12" ht="18.75" customHeight="1">
      <c r="A351" s="14"/>
      <c r="B351" s="774"/>
      <c r="C351" s="1121"/>
      <c r="D351" s="1147"/>
      <c r="E351" s="1148" t="s">
        <v>1604</v>
      </c>
      <c r="F351" s="1148" t="s">
        <v>889</v>
      </c>
      <c r="G351" s="775"/>
      <c r="H351" s="775"/>
      <c r="I351" s="775"/>
      <c r="J351" s="775"/>
      <c r="K351" s="4">
        <v>1</v>
      </c>
      <c r="L351" s="507"/>
    </row>
    <row r="352" spans="1:12" ht="27" customHeight="1">
      <c r="A352" s="14"/>
      <c r="B352" s="2210" t="str">
        <f>$B$9</f>
        <v>КОМИСИЯ ЗА РЕГУЛИРАНЕ НА СЪОБЩЕНИЯТА</v>
      </c>
      <c r="C352" s="2211"/>
      <c r="D352" s="2212"/>
      <c r="E352" s="1066">
        <f>$E$9</f>
        <v>43101</v>
      </c>
      <c r="F352" s="1393">
        <f>$F$9</f>
        <v>43190</v>
      </c>
      <c r="G352" s="775"/>
      <c r="H352" s="775"/>
      <c r="I352" s="775"/>
      <c r="J352" s="775"/>
      <c r="K352" s="4">
        <v>1</v>
      </c>
      <c r="L352" s="507"/>
    </row>
    <row r="353" spans="1:12" ht="15">
      <c r="A353" s="14"/>
      <c r="B353" s="1153" t="str">
        <f>$B$10</f>
        <v>                                                            (наименование на разпоредителя с бюджет)</v>
      </c>
      <c r="C353" s="774"/>
      <c r="D353" s="1124"/>
      <c r="E353" s="775"/>
      <c r="F353" s="775"/>
      <c r="G353" s="775"/>
      <c r="H353" s="775"/>
      <c r="I353" s="775"/>
      <c r="J353" s="775"/>
      <c r="K353" s="4">
        <v>1</v>
      </c>
      <c r="L353" s="507"/>
    </row>
    <row r="354" spans="1:12" ht="5.25" customHeight="1">
      <c r="A354" s="14"/>
      <c r="B354" s="1153"/>
      <c r="C354" s="774"/>
      <c r="D354" s="1124"/>
      <c r="E354" s="1281"/>
      <c r="F354" s="775"/>
      <c r="G354" s="775"/>
      <c r="H354" s="775"/>
      <c r="I354" s="775"/>
      <c r="J354" s="775"/>
      <c r="K354" s="4">
        <v>1</v>
      </c>
      <c r="L354" s="507"/>
    </row>
    <row r="355" spans="1:12" ht="27.75" customHeight="1">
      <c r="A355" s="14"/>
      <c r="B355" s="2237" t="str">
        <f>$B$12</f>
        <v>Комисия за регулиране на съобщенията</v>
      </c>
      <c r="C355" s="2238"/>
      <c r="D355" s="2239"/>
      <c r="E355" s="1394" t="s">
        <v>1249</v>
      </c>
      <c r="F355" s="1902" t="str">
        <f>$F$12</f>
        <v>4300</v>
      </c>
      <c r="G355" s="775"/>
      <c r="H355" s="775"/>
      <c r="I355" s="775"/>
      <c r="J355" s="775"/>
      <c r="K355" s="4">
        <v>1</v>
      </c>
      <c r="L355" s="507"/>
    </row>
    <row r="356" spans="1:12" ht="15.75">
      <c r="A356" s="14"/>
      <c r="B356" s="1395" t="str">
        <f>$B$13</f>
        <v>                                             (наименование на първостепенния разпоредител с бюджет)</v>
      </c>
      <c r="C356" s="1123"/>
      <c r="D356" s="775"/>
      <c r="E356" s="1281"/>
      <c r="F356" s="775"/>
      <c r="G356" s="775"/>
      <c r="H356" s="775"/>
      <c r="I356" s="775"/>
      <c r="J356" s="775"/>
      <c r="K356" s="4">
        <v>1</v>
      </c>
      <c r="L356" s="507"/>
    </row>
    <row r="357" spans="1:12" ht="21.75" customHeight="1">
      <c r="A357" s="14"/>
      <c r="B357" s="1396"/>
      <c r="C357" s="1396"/>
      <c r="D357" s="1397" t="s">
        <v>1424</v>
      </c>
      <c r="E357" s="1162">
        <f>$E$15</f>
        <v>0</v>
      </c>
      <c r="F357" s="1501" t="str">
        <f>+$F$15</f>
        <v>БЮДЖЕТ</v>
      </c>
      <c r="G357" s="775"/>
      <c r="H357" s="1163"/>
      <c r="I357" s="775"/>
      <c r="J357" s="1163"/>
      <c r="K357" s="4">
        <v>1</v>
      </c>
      <c r="L357" s="507"/>
    </row>
    <row r="358" spans="1:12" ht="16.5" thickBot="1">
      <c r="A358" s="14"/>
      <c r="B358" s="774"/>
      <c r="C358" s="1121"/>
      <c r="D358" s="1147"/>
      <c r="E358" s="15"/>
      <c r="F358" s="1165"/>
      <c r="G358" s="1165"/>
      <c r="H358" s="1165"/>
      <c r="I358" s="1165"/>
      <c r="J358" s="1166" t="s">
        <v>986</v>
      </c>
      <c r="K358" s="4">
        <v>1</v>
      </c>
      <c r="L358" s="507"/>
    </row>
    <row r="359" spans="1:12" ht="22.5" customHeight="1" thickBot="1">
      <c r="A359" s="14"/>
      <c r="B359" s="1398"/>
      <c r="C359" s="1399"/>
      <c r="D359" s="1400" t="s">
        <v>1607</v>
      </c>
      <c r="E359" s="1401" t="s">
        <v>988</v>
      </c>
      <c r="F359" s="504" t="s">
        <v>1264</v>
      </c>
      <c r="G359" s="1402"/>
      <c r="H359" s="1403"/>
      <c r="I359" s="1402"/>
      <c r="J359" s="1404"/>
      <c r="K359" s="4">
        <v>1</v>
      </c>
      <c r="L359" s="507"/>
    </row>
    <row r="360" spans="1:12" ht="48" customHeight="1">
      <c r="A360" s="14"/>
      <c r="B360" s="1405" t="s">
        <v>937</v>
      </c>
      <c r="C360" s="1406" t="s">
        <v>990</v>
      </c>
      <c r="D360" s="1407" t="s">
        <v>588</v>
      </c>
      <c r="E360" s="1401">
        <f>$C$3</f>
        <v>2018</v>
      </c>
      <c r="F360" s="505" t="s">
        <v>1262</v>
      </c>
      <c r="G360" s="1408" t="s">
        <v>1261</v>
      </c>
      <c r="H360" s="1409" t="s">
        <v>1352</v>
      </c>
      <c r="I360" s="1410" t="s">
        <v>1250</v>
      </c>
      <c r="J360" s="1411" t="s">
        <v>1251</v>
      </c>
      <c r="K360" s="4">
        <v>1</v>
      </c>
      <c r="L360" s="507"/>
    </row>
    <row r="361" spans="1:12" ht="18">
      <c r="A361" s="14">
        <v>1</v>
      </c>
      <c r="B361" s="1412" t="s">
        <v>1608</v>
      </c>
      <c r="C361" s="1413"/>
      <c r="D361" s="1414" t="s">
        <v>589</v>
      </c>
      <c r="E361" s="496" t="s">
        <v>604</v>
      </c>
      <c r="F361" s="496" t="s">
        <v>605</v>
      </c>
      <c r="G361" s="458" t="s">
        <v>1365</v>
      </c>
      <c r="H361" s="459" t="s">
        <v>1366</v>
      </c>
      <c r="I361" s="459" t="s">
        <v>1339</v>
      </c>
      <c r="J361" s="460" t="s">
        <v>1232</v>
      </c>
      <c r="K361" s="4">
        <v>1</v>
      </c>
      <c r="L361" s="507"/>
    </row>
    <row r="362" spans="1:12" ht="15.75">
      <c r="A362" s="506">
        <v>2</v>
      </c>
      <c r="B362" s="1415"/>
      <c r="C362" s="1416"/>
      <c r="D362" s="1417"/>
      <c r="E362" s="385"/>
      <c r="F362" s="385"/>
      <c r="G362" s="385"/>
      <c r="H362" s="386"/>
      <c r="I362" s="385"/>
      <c r="J362" s="386"/>
      <c r="K362" s="4">
        <v>1</v>
      </c>
      <c r="L362" s="507"/>
    </row>
    <row r="363" spans="1:26" s="352" customFormat="1" ht="18.75" customHeight="1">
      <c r="A363" s="17">
        <v>5</v>
      </c>
      <c r="B363" s="1418">
        <v>3000</v>
      </c>
      <c r="C363" s="2252" t="s">
        <v>2013</v>
      </c>
      <c r="D363" s="2253"/>
      <c r="E363" s="1738">
        <f aca="true" t="shared" si="73" ref="E363:J363">SUM(E364:E376)</f>
        <v>0</v>
      </c>
      <c r="F363" s="503">
        <f t="shared" si="73"/>
        <v>0</v>
      </c>
      <c r="G363" s="1419">
        <f t="shared" si="73"/>
        <v>0</v>
      </c>
      <c r="H363" s="539">
        <f t="shared" si="73"/>
        <v>0</v>
      </c>
      <c r="I363" s="539">
        <f t="shared" si="73"/>
        <v>0</v>
      </c>
      <c r="J363" s="541">
        <f t="shared" si="73"/>
        <v>0</v>
      </c>
      <c r="K363" s="1527">
        <f aca="true" t="shared" si="74" ref="K363:K426">(IF($E363&lt;&gt;0,$K$2,IF($F363&lt;&gt;0,$K$2,IF($G363&lt;&gt;0,$K$2,IF($H363&lt;&gt;0,$K$2,IF($I363&lt;&gt;0,$K$2,IF($J363&lt;&gt;0,$K$2,"")))))))</f>
      </c>
      <c r="L363" s="508"/>
      <c r="M363" s="2017"/>
      <c r="N363" s="350"/>
      <c r="O363" s="350"/>
      <c r="P363" s="350"/>
      <c r="Q363" s="350"/>
      <c r="R363" s="350"/>
      <c r="S363" s="350"/>
      <c r="T363" s="350"/>
      <c r="U363" s="350"/>
      <c r="V363" s="350"/>
      <c r="W363" s="350"/>
      <c r="X363" s="350"/>
      <c r="Y363" s="350"/>
      <c r="Z363" s="350"/>
    </row>
    <row r="364" spans="1:12" ht="18.75" customHeight="1">
      <c r="A364" s="14">
        <v>10</v>
      </c>
      <c r="B364" s="301"/>
      <c r="C364" s="293">
        <v>3020</v>
      </c>
      <c r="D364" s="294" t="s">
        <v>2015</v>
      </c>
      <c r="E364" s="643"/>
      <c r="F364" s="644">
        <f aca="true" t="shared" si="75" ref="F364:F376">G364+H364+I364+J364</f>
        <v>0</v>
      </c>
      <c r="G364" s="542"/>
      <c r="H364" s="543"/>
      <c r="I364" s="543"/>
      <c r="J364" s="544"/>
      <c r="K364" s="1527">
        <f t="shared" si="74"/>
      </c>
      <c r="L364" s="508"/>
    </row>
    <row r="365" spans="1:12" ht="18.75" customHeight="1">
      <c r="A365" s="24">
        <v>20</v>
      </c>
      <c r="B365" s="301"/>
      <c r="C365" s="295">
        <v>3040</v>
      </c>
      <c r="D365" s="516" t="s">
        <v>2016</v>
      </c>
      <c r="E365" s="645"/>
      <c r="F365" s="646">
        <f t="shared" si="75"/>
        <v>0</v>
      </c>
      <c r="G365" s="545"/>
      <c r="H365" s="546"/>
      <c r="I365" s="546"/>
      <c r="J365" s="547"/>
      <c r="K365" s="1527">
        <f t="shared" si="74"/>
      </c>
      <c r="L365" s="508"/>
    </row>
    <row r="366" spans="1:12" ht="18.75" customHeight="1">
      <c r="A366" s="14">
        <v>25</v>
      </c>
      <c r="B366" s="301"/>
      <c r="C366" s="295">
        <v>3041</v>
      </c>
      <c r="D366" s="296" t="s">
        <v>1542</v>
      </c>
      <c r="E366" s="645"/>
      <c r="F366" s="646">
        <f t="shared" si="75"/>
        <v>0</v>
      </c>
      <c r="G366" s="545"/>
      <c r="H366" s="546"/>
      <c r="I366" s="546"/>
      <c r="J366" s="547"/>
      <c r="K366" s="1527">
        <f t="shared" si="74"/>
      </c>
      <c r="L366" s="508"/>
    </row>
    <row r="367" spans="1:12" ht="18.75" customHeight="1">
      <c r="A367" s="14">
        <v>30</v>
      </c>
      <c r="B367" s="292"/>
      <c r="C367" s="295">
        <v>3042</v>
      </c>
      <c r="D367" s="296" t="s">
        <v>1543</v>
      </c>
      <c r="E367" s="645"/>
      <c r="F367" s="646">
        <f t="shared" si="75"/>
        <v>0</v>
      </c>
      <c r="G367" s="545"/>
      <c r="H367" s="546"/>
      <c r="I367" s="546"/>
      <c r="J367" s="547"/>
      <c r="K367" s="1527">
        <f t="shared" si="74"/>
      </c>
      <c r="L367" s="508"/>
    </row>
    <row r="368" spans="1:12" ht="18.75" customHeight="1">
      <c r="A368" s="14">
        <v>35</v>
      </c>
      <c r="B368" s="292"/>
      <c r="C368" s="295">
        <v>3043</v>
      </c>
      <c r="D368" s="296" t="s">
        <v>2017</v>
      </c>
      <c r="E368" s="645"/>
      <c r="F368" s="646">
        <f t="shared" si="75"/>
        <v>0</v>
      </c>
      <c r="G368" s="545"/>
      <c r="H368" s="546"/>
      <c r="I368" s="546"/>
      <c r="J368" s="547"/>
      <c r="K368" s="1527">
        <f t="shared" si="74"/>
      </c>
      <c r="L368" s="508"/>
    </row>
    <row r="369" spans="1:12" ht="18.75" customHeight="1">
      <c r="A369" s="14">
        <v>36</v>
      </c>
      <c r="B369" s="292"/>
      <c r="C369" s="470">
        <v>3048</v>
      </c>
      <c r="D369" s="515" t="s">
        <v>2018</v>
      </c>
      <c r="E369" s="647"/>
      <c r="F369" s="648">
        <f t="shared" si="75"/>
        <v>0</v>
      </c>
      <c r="G369" s="548"/>
      <c r="H369" s="549"/>
      <c r="I369" s="549"/>
      <c r="J369" s="550"/>
      <c r="K369" s="1527">
        <f t="shared" si="74"/>
      </c>
      <c r="L369" s="508"/>
    </row>
    <row r="370" spans="1:12" ht="18.75" customHeight="1">
      <c r="A370" s="14">
        <v>45</v>
      </c>
      <c r="B370" s="292"/>
      <c r="C370" s="468">
        <v>3050</v>
      </c>
      <c r="D370" s="469" t="s">
        <v>2019</v>
      </c>
      <c r="E370" s="649"/>
      <c r="F370" s="650">
        <f t="shared" si="75"/>
        <v>0</v>
      </c>
      <c r="G370" s="551"/>
      <c r="H370" s="552"/>
      <c r="I370" s="552"/>
      <c r="J370" s="553"/>
      <c r="K370" s="1527">
        <f t="shared" si="74"/>
      </c>
      <c r="L370" s="508"/>
    </row>
    <row r="371" spans="1:12" ht="18.75" customHeight="1">
      <c r="A371" s="14">
        <v>50</v>
      </c>
      <c r="B371" s="292"/>
      <c r="C371" s="470">
        <v>3061</v>
      </c>
      <c r="D371" s="515" t="s">
        <v>2020</v>
      </c>
      <c r="E371" s="647"/>
      <c r="F371" s="648">
        <f t="shared" si="75"/>
        <v>0</v>
      </c>
      <c r="G371" s="548"/>
      <c r="H371" s="549"/>
      <c r="I371" s="549"/>
      <c r="J371" s="550"/>
      <c r="K371" s="1527">
        <f t="shared" si="74"/>
      </c>
      <c r="L371" s="508"/>
    </row>
    <row r="372" spans="1:12" ht="18.75" customHeight="1">
      <c r="A372" s="14">
        <v>60</v>
      </c>
      <c r="B372" s="292"/>
      <c r="C372" s="468">
        <v>3081</v>
      </c>
      <c r="D372" s="469" t="s">
        <v>2021</v>
      </c>
      <c r="E372" s="649"/>
      <c r="F372" s="650">
        <f t="shared" si="75"/>
        <v>0</v>
      </c>
      <c r="G372" s="551"/>
      <c r="H372" s="552"/>
      <c r="I372" s="552"/>
      <c r="J372" s="553"/>
      <c r="K372" s="1527">
        <f t="shared" si="74"/>
      </c>
      <c r="L372" s="508"/>
    </row>
    <row r="373" spans="1:12" ht="18.75" customHeight="1">
      <c r="A373" s="14"/>
      <c r="B373" s="292"/>
      <c r="C373" s="295" t="s">
        <v>1340</v>
      </c>
      <c r="D373" s="296" t="s">
        <v>2022</v>
      </c>
      <c r="E373" s="645"/>
      <c r="F373" s="646">
        <f t="shared" si="75"/>
        <v>0</v>
      </c>
      <c r="G373" s="545"/>
      <c r="H373" s="546"/>
      <c r="I373" s="546"/>
      <c r="J373" s="547"/>
      <c r="K373" s="1527">
        <f t="shared" si="74"/>
      </c>
      <c r="L373" s="508"/>
    </row>
    <row r="374" spans="1:12" ht="18.75" customHeight="1">
      <c r="A374" s="14">
        <v>65</v>
      </c>
      <c r="B374" s="292"/>
      <c r="C374" s="295">
        <v>3083</v>
      </c>
      <c r="D374" s="296" t="s">
        <v>2023</v>
      </c>
      <c r="E374" s="645"/>
      <c r="F374" s="646">
        <f t="shared" si="75"/>
        <v>0</v>
      </c>
      <c r="G374" s="545"/>
      <c r="H374" s="546"/>
      <c r="I374" s="546"/>
      <c r="J374" s="547"/>
      <c r="K374" s="1527">
        <f t="shared" si="74"/>
      </c>
      <c r="L374" s="508"/>
    </row>
    <row r="375" spans="1:12" ht="18.75" customHeight="1">
      <c r="A375" s="14">
        <v>65</v>
      </c>
      <c r="B375" s="292"/>
      <c r="C375" s="295">
        <v>3089</v>
      </c>
      <c r="D375" s="517" t="s">
        <v>2024</v>
      </c>
      <c r="E375" s="645"/>
      <c r="F375" s="646">
        <f t="shared" si="75"/>
        <v>0</v>
      </c>
      <c r="G375" s="545"/>
      <c r="H375" s="546"/>
      <c r="I375" s="546"/>
      <c r="J375" s="547"/>
      <c r="K375" s="1527">
        <f t="shared" si="74"/>
      </c>
      <c r="L375" s="508"/>
    </row>
    <row r="376" spans="1:12" ht="18.75" customHeight="1">
      <c r="A376" s="14">
        <v>65</v>
      </c>
      <c r="B376" s="292"/>
      <c r="C376" s="298">
        <v>3090</v>
      </c>
      <c r="D376" s="326" t="s">
        <v>1035</v>
      </c>
      <c r="E376" s="651"/>
      <c r="F376" s="652">
        <f t="shared" si="75"/>
        <v>0</v>
      </c>
      <c r="G376" s="554"/>
      <c r="H376" s="555"/>
      <c r="I376" s="555"/>
      <c r="J376" s="556"/>
      <c r="K376" s="1527">
        <f t="shared" si="74"/>
      </c>
      <c r="L376" s="508"/>
    </row>
    <row r="377" spans="1:26" s="352" customFormat="1" ht="18.75" customHeight="1">
      <c r="A377" s="17">
        <v>70</v>
      </c>
      <c r="B377" s="501">
        <v>3100</v>
      </c>
      <c r="C377" s="2249" t="s">
        <v>2025</v>
      </c>
      <c r="D377" s="2250"/>
      <c r="E377" s="1738">
        <f aca="true" t="shared" si="76" ref="E377:J377">SUM(E378:E384)</f>
        <v>-7000000</v>
      </c>
      <c r="F377" s="503">
        <f t="shared" si="76"/>
        <v>-42344564</v>
      </c>
      <c r="G377" s="538">
        <f t="shared" si="76"/>
        <v>-42344564</v>
      </c>
      <c r="H377" s="539">
        <f t="shared" si="76"/>
        <v>0</v>
      </c>
      <c r="I377" s="1514">
        <f t="shared" si="76"/>
        <v>0</v>
      </c>
      <c r="J377" s="541">
        <f t="shared" si="76"/>
        <v>0</v>
      </c>
      <c r="K377" s="1527">
        <f t="shared" si="74"/>
        <v>1</v>
      </c>
      <c r="L377" s="508"/>
      <c r="M377" s="2017"/>
      <c r="N377" s="350"/>
      <c r="O377" s="350"/>
      <c r="P377" s="350"/>
      <c r="Q377" s="350"/>
      <c r="R377" s="350"/>
      <c r="S377" s="350"/>
      <c r="T377" s="350"/>
      <c r="U377" s="350"/>
      <c r="V377" s="350"/>
      <c r="W377" s="350"/>
      <c r="X377" s="350"/>
      <c r="Y377" s="350"/>
      <c r="Z377" s="350"/>
    </row>
    <row r="378" spans="1:12" ht="18.75" customHeight="1">
      <c r="A378" s="25">
        <v>75</v>
      </c>
      <c r="B378" s="292"/>
      <c r="C378" s="497">
        <v>3110</v>
      </c>
      <c r="D378" s="528" t="s">
        <v>1612</v>
      </c>
      <c r="E378" s="653"/>
      <c r="F378" s="654">
        <f aca="true" t="shared" si="77" ref="F378:F384">G378+H378+I378+J378</f>
        <v>-41918072</v>
      </c>
      <c r="G378" s="557">
        <v>-41918072</v>
      </c>
      <c r="H378" s="558"/>
      <c r="I378" s="558"/>
      <c r="J378" s="559"/>
      <c r="K378" s="1527">
        <f t="shared" si="74"/>
        <v>1</v>
      </c>
      <c r="L378" s="508"/>
    </row>
    <row r="379" spans="1:26" ht="18.75" customHeight="1">
      <c r="A379" s="9">
        <v>80</v>
      </c>
      <c r="B379" s="499"/>
      <c r="C379" s="468">
        <v>3111</v>
      </c>
      <c r="D379" s="529" t="s">
        <v>1613</v>
      </c>
      <c r="E379" s="649"/>
      <c r="F379" s="650">
        <f t="shared" si="77"/>
        <v>0</v>
      </c>
      <c r="G379" s="551"/>
      <c r="H379" s="552"/>
      <c r="I379" s="552"/>
      <c r="J379" s="553"/>
      <c r="K379" s="1527">
        <f t="shared" si="74"/>
      </c>
      <c r="L379" s="508"/>
      <c r="N379" s="352"/>
      <c r="O379" s="352"/>
      <c r="P379" s="352"/>
      <c r="Q379" s="352"/>
      <c r="R379" s="352"/>
      <c r="S379" s="352"/>
      <c r="T379" s="352"/>
      <c r="U379" s="352"/>
      <c r="V379" s="352"/>
      <c r="W379" s="352"/>
      <c r="X379" s="352"/>
      <c r="Y379" s="352"/>
      <c r="Z379" s="352"/>
    </row>
    <row r="380" spans="1:12" ht="24" customHeight="1">
      <c r="A380" s="9">
        <v>85</v>
      </c>
      <c r="B380" s="499"/>
      <c r="C380" s="295">
        <v>3112</v>
      </c>
      <c r="D380" s="339" t="s">
        <v>1614</v>
      </c>
      <c r="E380" s="645"/>
      <c r="F380" s="646">
        <f t="shared" si="77"/>
        <v>0</v>
      </c>
      <c r="G380" s="545"/>
      <c r="H380" s="546"/>
      <c r="I380" s="546"/>
      <c r="J380" s="547"/>
      <c r="K380" s="1527">
        <f t="shared" si="74"/>
      </c>
      <c r="L380" s="508"/>
    </row>
    <row r="381" spans="1:12" ht="18.75" customHeight="1">
      <c r="A381" s="9">
        <v>90</v>
      </c>
      <c r="B381" s="499"/>
      <c r="C381" s="295">
        <v>3113</v>
      </c>
      <c r="D381" s="339" t="s">
        <v>2026</v>
      </c>
      <c r="E381" s="645"/>
      <c r="F381" s="646">
        <f t="shared" si="77"/>
        <v>0</v>
      </c>
      <c r="G381" s="545"/>
      <c r="H381" s="546"/>
      <c r="I381" s="546"/>
      <c r="J381" s="547"/>
      <c r="K381" s="1527">
        <f t="shared" si="74"/>
      </c>
      <c r="L381" s="508"/>
    </row>
    <row r="382" spans="1:12" ht="18.75" customHeight="1">
      <c r="A382" s="9">
        <v>91</v>
      </c>
      <c r="B382" s="499"/>
      <c r="C382" s="295">
        <v>3118</v>
      </c>
      <c r="D382" s="339" t="s">
        <v>1616</v>
      </c>
      <c r="E382" s="645"/>
      <c r="F382" s="646">
        <f t="shared" si="77"/>
        <v>0</v>
      </c>
      <c r="G382" s="545"/>
      <c r="H382" s="546"/>
      <c r="I382" s="546"/>
      <c r="J382" s="547"/>
      <c r="K382" s="1527">
        <f t="shared" si="74"/>
      </c>
      <c r="L382" s="508"/>
    </row>
    <row r="383" spans="1:12" ht="18.75" customHeight="1">
      <c r="A383" s="9"/>
      <c r="B383" s="499"/>
      <c r="C383" s="470">
        <v>3128</v>
      </c>
      <c r="D383" s="526" t="s">
        <v>1615</v>
      </c>
      <c r="E383" s="655"/>
      <c r="F383" s="648">
        <f t="shared" si="77"/>
        <v>0</v>
      </c>
      <c r="G383" s="548"/>
      <c r="H383" s="549"/>
      <c r="I383" s="549"/>
      <c r="J383" s="550"/>
      <c r="K383" s="1527">
        <f t="shared" si="74"/>
      </c>
      <c r="L383" s="508"/>
    </row>
    <row r="384" spans="1:12" ht="18.75" customHeight="1">
      <c r="A384" s="9">
        <v>100</v>
      </c>
      <c r="B384" s="292"/>
      <c r="C384" s="379">
        <v>3120</v>
      </c>
      <c r="D384" s="530" t="s">
        <v>2095</v>
      </c>
      <c r="E384" s="656">
        <v>-7000000</v>
      </c>
      <c r="F384" s="493">
        <f t="shared" si="77"/>
        <v>-426492</v>
      </c>
      <c r="G384" s="560">
        <v>-426492</v>
      </c>
      <c r="H384" s="561"/>
      <c r="I384" s="561"/>
      <c r="J384" s="562"/>
      <c r="K384" s="1527">
        <f t="shared" si="74"/>
        <v>1</v>
      </c>
      <c r="L384" s="508"/>
    </row>
    <row r="385" spans="1:26" s="352" customFormat="1" ht="18.75" customHeight="1">
      <c r="A385" s="8">
        <v>115</v>
      </c>
      <c r="B385" s="501">
        <v>3200</v>
      </c>
      <c r="C385" s="2249" t="s">
        <v>1036</v>
      </c>
      <c r="D385" s="2250"/>
      <c r="E385" s="1738">
        <f aca="true" t="shared" si="78" ref="E385:J385">SUM(E386:E389)</f>
        <v>0</v>
      </c>
      <c r="F385" s="503">
        <f t="shared" si="78"/>
        <v>0</v>
      </c>
      <c r="G385" s="538">
        <f t="shared" si="78"/>
        <v>0</v>
      </c>
      <c r="H385" s="539">
        <f t="shared" si="78"/>
        <v>0</v>
      </c>
      <c r="I385" s="540">
        <f t="shared" si="78"/>
        <v>0</v>
      </c>
      <c r="J385" s="541">
        <f t="shared" si="78"/>
        <v>0</v>
      </c>
      <c r="K385" s="1527">
        <f t="shared" si="74"/>
      </c>
      <c r="L385" s="508"/>
      <c r="M385" s="2017"/>
      <c r="N385" s="350"/>
      <c r="O385" s="350"/>
      <c r="P385" s="350"/>
      <c r="Q385" s="350"/>
      <c r="R385" s="350"/>
      <c r="S385" s="350"/>
      <c r="T385" s="350"/>
      <c r="U385" s="350"/>
      <c r="V385" s="350"/>
      <c r="W385" s="350"/>
      <c r="X385" s="350"/>
      <c r="Y385" s="350"/>
      <c r="Z385" s="350"/>
    </row>
    <row r="386" spans="1:12" ht="18.75" customHeight="1">
      <c r="A386" s="8">
        <v>120</v>
      </c>
      <c r="B386" s="292"/>
      <c r="C386" s="293">
        <v>3210</v>
      </c>
      <c r="D386" s="347" t="s">
        <v>2027</v>
      </c>
      <c r="E386" s="643"/>
      <c r="F386" s="644">
        <f>G386+H386+I386+J386</f>
        <v>0</v>
      </c>
      <c r="G386" s="542"/>
      <c r="H386" s="543"/>
      <c r="I386" s="543"/>
      <c r="J386" s="544"/>
      <c r="K386" s="1527">
        <f t="shared" si="74"/>
      </c>
      <c r="L386" s="508"/>
    </row>
    <row r="387" spans="1:26" ht="18.75" customHeight="1">
      <c r="A387" s="9">
        <v>125</v>
      </c>
      <c r="B387" s="301"/>
      <c r="C387" s="470">
        <v>3220</v>
      </c>
      <c r="D387" s="526" t="s">
        <v>1283</v>
      </c>
      <c r="E387" s="647"/>
      <c r="F387" s="648">
        <f>G387+H387+I387+J387</f>
        <v>0</v>
      </c>
      <c r="G387" s="548"/>
      <c r="H387" s="549"/>
      <c r="I387" s="549"/>
      <c r="J387" s="550"/>
      <c r="K387" s="1527">
        <f t="shared" si="74"/>
      </c>
      <c r="L387" s="508"/>
      <c r="N387" s="352"/>
      <c r="O387" s="352"/>
      <c r="P387" s="352"/>
      <c r="Q387" s="352"/>
      <c r="R387" s="352"/>
      <c r="S387" s="352"/>
      <c r="T387" s="352"/>
      <c r="U387" s="352"/>
      <c r="V387" s="352"/>
      <c r="W387" s="352"/>
      <c r="X387" s="352"/>
      <c r="Y387" s="352"/>
      <c r="Z387" s="352"/>
    </row>
    <row r="388" spans="1:12" ht="18.75" customHeight="1">
      <c r="A388" s="9">
        <v>130</v>
      </c>
      <c r="B388" s="292"/>
      <c r="C388" s="468">
        <v>3230</v>
      </c>
      <c r="D388" s="529" t="s">
        <v>1037</v>
      </c>
      <c r="E388" s="649"/>
      <c r="F388" s="650">
        <f>G388+H388+I388+J388</f>
        <v>0</v>
      </c>
      <c r="G388" s="551"/>
      <c r="H388" s="552"/>
      <c r="I388" s="552"/>
      <c r="J388" s="553"/>
      <c r="K388" s="1527">
        <f t="shared" si="74"/>
      </c>
      <c r="L388" s="508"/>
    </row>
    <row r="389" spans="1:12" ht="18.75" customHeight="1">
      <c r="A389" s="14">
        <v>135</v>
      </c>
      <c r="B389" s="292"/>
      <c r="C389" s="298">
        <v>3240</v>
      </c>
      <c r="D389" s="527" t="s">
        <v>1038</v>
      </c>
      <c r="E389" s="651"/>
      <c r="F389" s="652">
        <f>G389+H389+I389+J389</f>
        <v>0</v>
      </c>
      <c r="G389" s="554"/>
      <c r="H389" s="555"/>
      <c r="I389" s="555"/>
      <c r="J389" s="556"/>
      <c r="K389" s="1527">
        <f t="shared" si="74"/>
      </c>
      <c r="L389" s="508"/>
    </row>
    <row r="390" spans="1:26" s="352" customFormat="1" ht="18.75" customHeight="1">
      <c r="A390" s="17">
        <v>145</v>
      </c>
      <c r="B390" s="501">
        <v>6000</v>
      </c>
      <c r="C390" s="2249" t="s">
        <v>1284</v>
      </c>
      <c r="D390" s="2250"/>
      <c r="E390" s="1738">
        <f aca="true" t="shared" si="79" ref="E390:J390">+E391+E392</f>
        <v>0</v>
      </c>
      <c r="F390" s="503">
        <f t="shared" si="79"/>
        <v>0</v>
      </c>
      <c r="G390" s="538">
        <f t="shared" si="79"/>
        <v>0</v>
      </c>
      <c r="H390" s="539">
        <f t="shared" si="79"/>
        <v>0</v>
      </c>
      <c r="I390" s="540">
        <f t="shared" si="79"/>
        <v>0</v>
      </c>
      <c r="J390" s="541">
        <f t="shared" si="79"/>
        <v>0</v>
      </c>
      <c r="K390" s="1527">
        <f t="shared" si="74"/>
      </c>
      <c r="L390" s="508"/>
      <c r="M390" s="2017"/>
      <c r="N390" s="350"/>
      <c r="O390" s="350"/>
      <c r="P390" s="350"/>
      <c r="Q390" s="350"/>
      <c r="R390" s="350"/>
      <c r="S390" s="350"/>
      <c r="T390" s="350"/>
      <c r="U390" s="350"/>
      <c r="V390" s="350"/>
      <c r="W390" s="350"/>
      <c r="X390" s="350"/>
      <c r="Y390" s="350"/>
      <c r="Z390" s="350"/>
    </row>
    <row r="391" spans="1:12" ht="18.75" customHeight="1">
      <c r="A391" s="14">
        <v>150</v>
      </c>
      <c r="B391" s="299"/>
      <c r="C391" s="293">
        <v>6001</v>
      </c>
      <c r="D391" s="294" t="s">
        <v>1538</v>
      </c>
      <c r="E391" s="643"/>
      <c r="F391" s="644">
        <f>G391+H391+I391+J391</f>
        <v>0</v>
      </c>
      <c r="G391" s="542"/>
      <c r="H391" s="543"/>
      <c r="I391" s="543"/>
      <c r="J391" s="544"/>
      <c r="K391" s="1527">
        <f t="shared" si="74"/>
      </c>
      <c r="L391" s="508"/>
    </row>
    <row r="392" spans="1:26" ht="18.75" customHeight="1">
      <c r="A392" s="14">
        <v>155</v>
      </c>
      <c r="B392" s="299"/>
      <c r="C392" s="298">
        <v>6002</v>
      </c>
      <c r="D392" s="333" t="s">
        <v>1539</v>
      </c>
      <c r="E392" s="651"/>
      <c r="F392" s="652">
        <f>G392+H392+I392+J392</f>
        <v>0</v>
      </c>
      <c r="G392" s="554"/>
      <c r="H392" s="555"/>
      <c r="I392" s="555"/>
      <c r="J392" s="556"/>
      <c r="K392" s="1527">
        <f t="shared" si="74"/>
      </c>
      <c r="L392" s="508"/>
      <c r="N392" s="352"/>
      <c r="O392" s="352"/>
      <c r="P392" s="352"/>
      <c r="Q392" s="352"/>
      <c r="R392" s="352"/>
      <c r="S392" s="352"/>
      <c r="T392" s="352"/>
      <c r="U392" s="352"/>
      <c r="V392" s="352"/>
      <c r="W392" s="352"/>
      <c r="X392" s="352"/>
      <c r="Y392" s="352"/>
      <c r="Z392" s="352"/>
    </row>
    <row r="393" spans="1:26" s="352" customFormat="1" ht="18.75" customHeight="1">
      <c r="A393" s="17">
        <v>160</v>
      </c>
      <c r="B393" s="501">
        <v>6100</v>
      </c>
      <c r="C393" s="2249" t="s">
        <v>1285</v>
      </c>
      <c r="D393" s="2250"/>
      <c r="E393" s="1738">
        <f aca="true" t="shared" si="80" ref="E393:J393">SUM(E394:E397)</f>
        <v>-9100000</v>
      </c>
      <c r="F393" s="503">
        <f t="shared" si="80"/>
        <v>-405508</v>
      </c>
      <c r="G393" s="538">
        <f t="shared" si="80"/>
        <v>-367580</v>
      </c>
      <c r="H393" s="539">
        <f t="shared" si="80"/>
        <v>0</v>
      </c>
      <c r="I393" s="540">
        <f t="shared" si="80"/>
        <v>0</v>
      </c>
      <c r="J393" s="541">
        <f t="shared" si="80"/>
        <v>-37928</v>
      </c>
      <c r="K393" s="1527">
        <f t="shared" si="74"/>
        <v>1</v>
      </c>
      <c r="L393" s="508"/>
      <c r="M393" s="2017"/>
      <c r="N393" s="350"/>
      <c r="O393" s="350"/>
      <c r="P393" s="350"/>
      <c r="Q393" s="350"/>
      <c r="R393" s="350"/>
      <c r="S393" s="350"/>
      <c r="T393" s="350"/>
      <c r="U393" s="350"/>
      <c r="V393" s="350"/>
      <c r="W393" s="350"/>
      <c r="X393" s="350"/>
      <c r="Y393" s="350"/>
      <c r="Z393" s="350"/>
    </row>
    <row r="394" spans="1:12" ht="18.75" customHeight="1">
      <c r="A394" s="14">
        <v>165</v>
      </c>
      <c r="B394" s="299"/>
      <c r="C394" s="293">
        <v>6101</v>
      </c>
      <c r="D394" s="294" t="s">
        <v>1341</v>
      </c>
      <c r="E394" s="643"/>
      <c r="F394" s="644">
        <f>G394+H394+I394+J394</f>
        <v>0</v>
      </c>
      <c r="G394" s="542"/>
      <c r="H394" s="543"/>
      <c r="I394" s="543"/>
      <c r="J394" s="544"/>
      <c r="K394" s="1527">
        <f t="shared" si="74"/>
      </c>
      <c r="L394" s="508"/>
    </row>
    <row r="395" spans="1:26" ht="18.75" customHeight="1">
      <c r="A395" s="14">
        <v>170</v>
      </c>
      <c r="B395" s="299"/>
      <c r="C395" s="295">
        <v>6102</v>
      </c>
      <c r="D395" s="331" t="s">
        <v>1342</v>
      </c>
      <c r="E395" s="645">
        <v>-9100000</v>
      </c>
      <c r="F395" s="646">
        <f>G395+H395+I395+J395</f>
        <v>-405508</v>
      </c>
      <c r="G395" s="545">
        <v>-367580</v>
      </c>
      <c r="H395" s="546"/>
      <c r="I395" s="546"/>
      <c r="J395" s="547">
        <v>-37928</v>
      </c>
      <c r="K395" s="1527">
        <f t="shared" si="74"/>
        <v>1</v>
      </c>
      <c r="L395" s="508"/>
      <c r="N395" s="352"/>
      <c r="O395" s="352"/>
      <c r="P395" s="352"/>
      <c r="Q395" s="352"/>
      <c r="R395" s="352"/>
      <c r="S395" s="352"/>
      <c r="T395" s="352"/>
      <c r="U395" s="352"/>
      <c r="V395" s="352"/>
      <c r="W395" s="352"/>
      <c r="X395" s="352"/>
      <c r="Y395" s="352"/>
      <c r="Z395" s="352"/>
    </row>
    <row r="396" spans="1:12" ht="18.75" customHeight="1">
      <c r="A396" s="14">
        <v>180</v>
      </c>
      <c r="B396" s="301"/>
      <c r="C396" s="295">
        <v>6105</v>
      </c>
      <c r="D396" s="331" t="s">
        <v>1227</v>
      </c>
      <c r="E396" s="657"/>
      <c r="F396" s="646">
        <f>G396+H396+I396+J396</f>
        <v>0</v>
      </c>
      <c r="G396" s="545"/>
      <c r="H396" s="546"/>
      <c r="I396" s="546"/>
      <c r="J396" s="547"/>
      <c r="K396" s="1527">
        <f t="shared" si="74"/>
      </c>
      <c r="L396" s="508"/>
    </row>
    <row r="397" spans="1:12" ht="18.75" customHeight="1">
      <c r="A397" s="14">
        <v>180</v>
      </c>
      <c r="B397" s="301"/>
      <c r="C397" s="298">
        <v>6109</v>
      </c>
      <c r="D397" s="518" t="s">
        <v>1286</v>
      </c>
      <c r="E397" s="658"/>
      <c r="F397" s="652">
        <f>G397+H397+I397+J397</f>
        <v>0</v>
      </c>
      <c r="G397" s="554"/>
      <c r="H397" s="555"/>
      <c r="I397" s="555"/>
      <c r="J397" s="556"/>
      <c r="K397" s="1527">
        <f t="shared" si="74"/>
      </c>
      <c r="L397" s="508"/>
    </row>
    <row r="398" spans="1:26" s="352" customFormat="1" ht="18.75" customHeight="1">
      <c r="A398" s="8">
        <v>185</v>
      </c>
      <c r="B398" s="501">
        <v>6200</v>
      </c>
      <c r="C398" s="2249" t="s">
        <v>1287</v>
      </c>
      <c r="D398" s="2250"/>
      <c r="E398" s="1738">
        <f aca="true" t="shared" si="81" ref="E398:J398">+E399+E400</f>
        <v>0</v>
      </c>
      <c r="F398" s="503">
        <f t="shared" si="81"/>
        <v>0</v>
      </c>
      <c r="G398" s="538">
        <f t="shared" si="81"/>
        <v>0</v>
      </c>
      <c r="H398" s="539">
        <f t="shared" si="81"/>
        <v>0</v>
      </c>
      <c r="I398" s="540">
        <f t="shared" si="81"/>
        <v>0</v>
      </c>
      <c r="J398" s="541">
        <f t="shared" si="81"/>
        <v>0</v>
      </c>
      <c r="K398" s="1527">
        <f t="shared" si="74"/>
      </c>
      <c r="L398" s="508"/>
      <c r="M398" s="2017"/>
      <c r="N398" s="350"/>
      <c r="O398" s="350"/>
      <c r="P398" s="350"/>
      <c r="Q398" s="350"/>
      <c r="R398" s="350"/>
      <c r="S398" s="350"/>
      <c r="T398" s="350"/>
      <c r="U398" s="350"/>
      <c r="V398" s="350"/>
      <c r="W398" s="350"/>
      <c r="X398" s="350"/>
      <c r="Y398" s="350"/>
      <c r="Z398" s="350"/>
    </row>
    <row r="399" spans="1:12" ht="18.75" customHeight="1">
      <c r="A399" s="9">
        <v>190</v>
      </c>
      <c r="B399" s="500"/>
      <c r="C399" s="293">
        <v>6201</v>
      </c>
      <c r="D399" s="519" t="s">
        <v>1541</v>
      </c>
      <c r="E399" s="643"/>
      <c r="F399" s="644">
        <f>G399+H399+I399+J399</f>
        <v>0</v>
      </c>
      <c r="G399" s="542"/>
      <c r="H399" s="543"/>
      <c r="I399" s="543"/>
      <c r="J399" s="544"/>
      <c r="K399" s="1527">
        <f t="shared" si="74"/>
      </c>
      <c r="L399" s="508"/>
    </row>
    <row r="400" spans="1:26" ht="18.75" customHeight="1">
      <c r="A400" s="9">
        <v>195</v>
      </c>
      <c r="B400" s="292"/>
      <c r="C400" s="298">
        <v>6202</v>
      </c>
      <c r="D400" s="520" t="s">
        <v>1540</v>
      </c>
      <c r="E400" s="651"/>
      <c r="F400" s="652">
        <f>G400+H400+I400+J400</f>
        <v>0</v>
      </c>
      <c r="G400" s="554"/>
      <c r="H400" s="555"/>
      <c r="I400" s="555"/>
      <c r="J400" s="556"/>
      <c r="K400" s="1527">
        <f t="shared" si="74"/>
      </c>
      <c r="L400" s="508"/>
      <c r="N400" s="352"/>
      <c r="O400" s="352"/>
      <c r="P400" s="352"/>
      <c r="Q400" s="352"/>
      <c r="R400" s="352"/>
      <c r="S400" s="352"/>
      <c r="T400" s="352"/>
      <c r="U400" s="352"/>
      <c r="V400" s="352"/>
      <c r="W400" s="352"/>
      <c r="X400" s="352"/>
      <c r="Y400" s="352"/>
      <c r="Z400" s="352"/>
    </row>
    <row r="401" spans="1:26" s="352" customFormat="1" ht="18.75" customHeight="1">
      <c r="A401" s="8">
        <v>200</v>
      </c>
      <c r="B401" s="501">
        <v>6300</v>
      </c>
      <c r="C401" s="2249" t="s">
        <v>1288</v>
      </c>
      <c r="D401" s="2250"/>
      <c r="E401" s="1738">
        <f aca="true" t="shared" si="82" ref="E401:J401">+E402+E403</f>
        <v>0</v>
      </c>
      <c r="F401" s="503">
        <f t="shared" si="82"/>
        <v>0</v>
      </c>
      <c r="G401" s="538">
        <f t="shared" si="82"/>
        <v>0</v>
      </c>
      <c r="H401" s="539">
        <f t="shared" si="82"/>
        <v>0</v>
      </c>
      <c r="I401" s="540">
        <f t="shared" si="82"/>
        <v>0</v>
      </c>
      <c r="J401" s="541">
        <f t="shared" si="82"/>
        <v>0</v>
      </c>
      <c r="K401" s="1527">
        <f t="shared" si="74"/>
      </c>
      <c r="L401" s="508"/>
      <c r="M401" s="2017"/>
      <c r="N401" s="350"/>
      <c r="O401" s="350"/>
      <c r="P401" s="350"/>
      <c r="Q401" s="350"/>
      <c r="R401" s="350"/>
      <c r="S401" s="350"/>
      <c r="T401" s="350"/>
      <c r="U401" s="350"/>
      <c r="V401" s="350"/>
      <c r="W401" s="350"/>
      <c r="X401" s="350"/>
      <c r="Y401" s="350"/>
      <c r="Z401" s="350"/>
    </row>
    <row r="402" spans="1:12" ht="18.75" customHeight="1">
      <c r="A402" s="9">
        <v>205</v>
      </c>
      <c r="B402" s="292"/>
      <c r="C402" s="293">
        <v>6301</v>
      </c>
      <c r="D402" s="519" t="s">
        <v>1541</v>
      </c>
      <c r="E402" s="643"/>
      <c r="F402" s="644">
        <f>G402+H402+I402+J402</f>
        <v>0</v>
      </c>
      <c r="G402" s="542"/>
      <c r="H402" s="543"/>
      <c r="I402" s="543"/>
      <c r="J402" s="544"/>
      <c r="K402" s="1527">
        <f t="shared" si="74"/>
      </c>
      <c r="L402" s="508"/>
    </row>
    <row r="403" spans="1:26" ht="18.75" customHeight="1">
      <c r="A403" s="14">
        <v>206</v>
      </c>
      <c r="B403" s="292"/>
      <c r="C403" s="298">
        <v>6302</v>
      </c>
      <c r="D403" s="520" t="s">
        <v>1540</v>
      </c>
      <c r="E403" s="651"/>
      <c r="F403" s="652">
        <f>G403+H403+I403+J403</f>
        <v>0</v>
      </c>
      <c r="G403" s="554"/>
      <c r="H403" s="555"/>
      <c r="I403" s="555"/>
      <c r="J403" s="556"/>
      <c r="K403" s="1527">
        <f t="shared" si="74"/>
      </c>
      <c r="L403" s="508"/>
      <c r="N403" s="352"/>
      <c r="O403" s="352"/>
      <c r="P403" s="352"/>
      <c r="Q403" s="352"/>
      <c r="R403" s="352"/>
      <c r="S403" s="352"/>
      <c r="T403" s="352"/>
      <c r="U403" s="352"/>
      <c r="V403" s="352"/>
      <c r="W403" s="352"/>
      <c r="X403" s="352"/>
      <c r="Y403" s="352"/>
      <c r="Z403" s="352"/>
    </row>
    <row r="404" spans="1:26" s="365" customFormat="1" ht="18.75" customHeight="1">
      <c r="A404" s="12">
        <v>210</v>
      </c>
      <c r="B404" s="501">
        <v>6400</v>
      </c>
      <c r="C404" s="2249" t="s">
        <v>1618</v>
      </c>
      <c r="D404" s="2250"/>
      <c r="E404" s="1738">
        <f aca="true" t="shared" si="83" ref="E404:J404">+E405+E406</f>
        <v>0</v>
      </c>
      <c r="F404" s="503">
        <f t="shared" si="83"/>
        <v>0</v>
      </c>
      <c r="G404" s="538">
        <f t="shared" si="83"/>
        <v>0</v>
      </c>
      <c r="H404" s="539">
        <f t="shared" si="83"/>
        <v>0</v>
      </c>
      <c r="I404" s="540">
        <f t="shared" si="83"/>
        <v>0</v>
      </c>
      <c r="J404" s="541">
        <f t="shared" si="83"/>
        <v>0</v>
      </c>
      <c r="K404" s="1527">
        <f t="shared" si="74"/>
      </c>
      <c r="L404" s="508"/>
      <c r="M404" s="2017"/>
      <c r="N404" s="350"/>
      <c r="O404" s="350"/>
      <c r="P404" s="350"/>
      <c r="Q404" s="350"/>
      <c r="R404" s="350"/>
      <c r="S404" s="350"/>
      <c r="T404" s="350"/>
      <c r="U404" s="350"/>
      <c r="V404" s="350"/>
      <c r="W404" s="350"/>
      <c r="X404" s="350"/>
      <c r="Y404" s="350"/>
      <c r="Z404" s="350"/>
    </row>
    <row r="405" spans="1:26" s="358" customFormat="1" ht="18.75" customHeight="1">
      <c r="A405" s="13">
        <v>211</v>
      </c>
      <c r="B405" s="301"/>
      <c r="C405" s="521">
        <v>6401</v>
      </c>
      <c r="D405" s="522" t="s">
        <v>1541</v>
      </c>
      <c r="E405" s="643"/>
      <c r="F405" s="644">
        <f>G405+H405+I405+J405</f>
        <v>0</v>
      </c>
      <c r="G405" s="542"/>
      <c r="H405" s="543"/>
      <c r="I405" s="543"/>
      <c r="J405" s="544"/>
      <c r="K405" s="1527">
        <f t="shared" si="74"/>
      </c>
      <c r="L405" s="508"/>
      <c r="M405" s="2017"/>
      <c r="N405" s="350"/>
      <c r="O405" s="350"/>
      <c r="P405" s="350"/>
      <c r="Q405" s="350"/>
      <c r="R405" s="350"/>
      <c r="S405" s="350"/>
      <c r="T405" s="350"/>
      <c r="U405" s="350"/>
      <c r="V405" s="350"/>
      <c r="W405" s="350"/>
      <c r="X405" s="350"/>
      <c r="Y405" s="350"/>
      <c r="Z405" s="350"/>
    </row>
    <row r="406" spans="1:26" s="358" customFormat="1" ht="18.75" customHeight="1">
      <c r="A406" s="13">
        <v>212</v>
      </c>
      <c r="B406" s="301"/>
      <c r="C406" s="523">
        <v>6402</v>
      </c>
      <c r="D406" s="524" t="s">
        <v>1540</v>
      </c>
      <c r="E406" s="651"/>
      <c r="F406" s="652">
        <f>G406+H406+I406+J406</f>
        <v>0</v>
      </c>
      <c r="G406" s="554"/>
      <c r="H406" s="555"/>
      <c r="I406" s="555"/>
      <c r="J406" s="556"/>
      <c r="K406" s="1527">
        <f t="shared" si="74"/>
      </c>
      <c r="L406" s="508"/>
      <c r="M406" s="2023"/>
      <c r="N406" s="365"/>
      <c r="O406" s="365"/>
      <c r="P406" s="365"/>
      <c r="Q406" s="365"/>
      <c r="R406" s="365"/>
      <c r="S406" s="365"/>
      <c r="T406" s="365"/>
      <c r="U406" s="365"/>
      <c r="V406" s="365"/>
      <c r="W406" s="365"/>
      <c r="X406" s="365"/>
      <c r="Y406" s="365"/>
      <c r="Z406" s="365"/>
    </row>
    <row r="407" spans="1:26" s="365" customFormat="1" ht="18.75" customHeight="1">
      <c r="A407" s="26">
        <v>213</v>
      </c>
      <c r="B407" s="501">
        <v>6500</v>
      </c>
      <c r="C407" s="2249" t="s">
        <v>592</v>
      </c>
      <c r="D407" s="2250"/>
      <c r="E407" s="502"/>
      <c r="F407" s="503">
        <f>G407+H407+I407+J407</f>
        <v>0</v>
      </c>
      <c r="G407" s="1511"/>
      <c r="H407" s="1512"/>
      <c r="I407" s="1512"/>
      <c r="J407" s="1513"/>
      <c r="K407" s="1527">
        <f t="shared" si="74"/>
      </c>
      <c r="L407" s="508"/>
      <c r="M407" s="2023"/>
      <c r="N407" s="358"/>
      <c r="O407" s="358"/>
      <c r="P407" s="358"/>
      <c r="Q407" s="358"/>
      <c r="R407" s="358"/>
      <c r="S407" s="358"/>
      <c r="T407" s="358"/>
      <c r="U407" s="358"/>
      <c r="V407" s="358"/>
      <c r="W407" s="358"/>
      <c r="X407" s="358"/>
      <c r="Y407" s="358"/>
      <c r="Z407" s="358"/>
    </row>
    <row r="408" spans="1:26" s="352" customFormat="1" ht="18.75" customHeight="1">
      <c r="A408" s="8">
        <v>215</v>
      </c>
      <c r="B408" s="501">
        <v>6600</v>
      </c>
      <c r="C408" s="2249" t="s">
        <v>593</v>
      </c>
      <c r="D408" s="2250"/>
      <c r="E408" s="1738">
        <f aca="true" t="shared" si="84" ref="E408:J408">+E409+E410</f>
        <v>0</v>
      </c>
      <c r="F408" s="503">
        <f t="shared" si="84"/>
        <v>0</v>
      </c>
      <c r="G408" s="538">
        <f t="shared" si="84"/>
        <v>0</v>
      </c>
      <c r="H408" s="539">
        <f t="shared" si="84"/>
        <v>0</v>
      </c>
      <c r="I408" s="540">
        <f t="shared" si="84"/>
        <v>0</v>
      </c>
      <c r="J408" s="541">
        <f t="shared" si="84"/>
        <v>0</v>
      </c>
      <c r="K408" s="1530">
        <f>(IF($E408&lt;&gt;0,$K$2,IF($F408&lt;&gt;0,$K$2,IF($F409&lt;&gt;0,$K$2,IF($F410&lt;&gt;0,$K$2,"")))))</f>
      </c>
      <c r="L408" s="508"/>
      <c r="M408" s="2023"/>
      <c r="N408" s="358"/>
      <c r="O408" s="358"/>
      <c r="P408" s="358"/>
      <c r="Q408" s="358"/>
      <c r="R408" s="358"/>
      <c r="S408" s="358"/>
      <c r="T408" s="358"/>
      <c r="U408" s="358"/>
      <c r="V408" s="358"/>
      <c r="W408" s="358"/>
      <c r="X408" s="358"/>
      <c r="Y408" s="358"/>
      <c r="Z408" s="358"/>
    </row>
    <row r="409" spans="1:26" ht="18.75" customHeight="1">
      <c r="A409" s="11">
        <v>220</v>
      </c>
      <c r="B409" s="292"/>
      <c r="C409" s="293">
        <v>6601</v>
      </c>
      <c r="D409" s="294" t="s">
        <v>1290</v>
      </c>
      <c r="E409" s="643"/>
      <c r="F409" s="644">
        <f>G409+H409+I409+J409</f>
        <v>0</v>
      </c>
      <c r="G409" s="542"/>
      <c r="H409" s="543"/>
      <c r="I409" s="543"/>
      <c r="J409" s="544"/>
      <c r="K409" s="1527">
        <f t="shared" si="74"/>
      </c>
      <c r="L409" s="508"/>
      <c r="M409" s="2023"/>
      <c r="N409" s="365"/>
      <c r="O409" s="365"/>
      <c r="P409" s="365"/>
      <c r="Q409" s="365"/>
      <c r="R409" s="365"/>
      <c r="S409" s="365"/>
      <c r="T409" s="365"/>
      <c r="U409" s="365"/>
      <c r="V409" s="365"/>
      <c r="W409" s="365"/>
      <c r="X409" s="365"/>
      <c r="Y409" s="365"/>
      <c r="Z409" s="365"/>
    </row>
    <row r="410" spans="1:26" ht="18.75" customHeight="1">
      <c r="A410" s="9">
        <v>225</v>
      </c>
      <c r="B410" s="292"/>
      <c r="C410" s="298">
        <v>6602</v>
      </c>
      <c r="D410" s="333" t="s">
        <v>1291</v>
      </c>
      <c r="E410" s="651"/>
      <c r="F410" s="652">
        <f>G410+H410+I410+J410</f>
        <v>0</v>
      </c>
      <c r="G410" s="554"/>
      <c r="H410" s="555"/>
      <c r="I410" s="555"/>
      <c r="J410" s="556"/>
      <c r="K410" s="1527">
        <f t="shared" si="74"/>
      </c>
      <c r="L410" s="508"/>
      <c r="N410" s="352"/>
      <c r="O410" s="352"/>
      <c r="P410" s="352"/>
      <c r="Q410" s="352"/>
      <c r="R410" s="352"/>
      <c r="S410" s="352"/>
      <c r="T410" s="352"/>
      <c r="U410" s="352"/>
      <c r="V410" s="352"/>
      <c r="W410" s="352"/>
      <c r="X410" s="352"/>
      <c r="Y410" s="352"/>
      <c r="Z410" s="352"/>
    </row>
    <row r="411" spans="1:26" s="352" customFormat="1" ht="18.75" customHeight="1">
      <c r="A411" s="8">
        <v>215</v>
      </c>
      <c r="B411" s="501">
        <v>6700</v>
      </c>
      <c r="C411" s="2249" t="s">
        <v>1343</v>
      </c>
      <c r="D411" s="2250"/>
      <c r="E411" s="1738">
        <f aca="true" t="shared" si="85" ref="E411:J411">+E412+E413</f>
        <v>0</v>
      </c>
      <c r="F411" s="503">
        <f t="shared" si="85"/>
        <v>0</v>
      </c>
      <c r="G411" s="538">
        <f t="shared" si="85"/>
        <v>0</v>
      </c>
      <c r="H411" s="539">
        <f t="shared" si="85"/>
        <v>0</v>
      </c>
      <c r="I411" s="540">
        <f t="shared" si="85"/>
        <v>0</v>
      </c>
      <c r="J411" s="541">
        <f t="shared" si="85"/>
        <v>0</v>
      </c>
      <c r="K411" s="1527">
        <f t="shared" si="74"/>
      </c>
      <c r="L411" s="508"/>
      <c r="M411" s="2017"/>
      <c r="N411" s="350"/>
      <c r="O411" s="350"/>
      <c r="P411" s="350"/>
      <c r="Q411" s="350"/>
      <c r="R411" s="350"/>
      <c r="S411" s="350"/>
      <c r="T411" s="350"/>
      <c r="U411" s="350"/>
      <c r="V411" s="350"/>
      <c r="W411" s="350"/>
      <c r="X411" s="350"/>
      <c r="Y411" s="350"/>
      <c r="Z411" s="350"/>
    </row>
    <row r="412" spans="1:12" ht="18.75" customHeight="1">
      <c r="A412" s="11">
        <v>220</v>
      </c>
      <c r="B412" s="292"/>
      <c r="C412" s="293">
        <v>6701</v>
      </c>
      <c r="D412" s="294" t="s">
        <v>1344</v>
      </c>
      <c r="E412" s="643"/>
      <c r="F412" s="644">
        <f>G412+H412+I412+J412</f>
        <v>0</v>
      </c>
      <c r="G412" s="542"/>
      <c r="H412" s="543"/>
      <c r="I412" s="543"/>
      <c r="J412" s="544"/>
      <c r="K412" s="1527">
        <f t="shared" si="74"/>
      </c>
      <c r="L412" s="508"/>
    </row>
    <row r="413" spans="1:26" ht="18.75" customHeight="1">
      <c r="A413" s="9">
        <v>225</v>
      </c>
      <c r="B413" s="292"/>
      <c r="C413" s="298">
        <v>6702</v>
      </c>
      <c r="D413" s="333" t="s">
        <v>1039</v>
      </c>
      <c r="E413" s="651"/>
      <c r="F413" s="652">
        <f>G413+H413+I413+J413</f>
        <v>0</v>
      </c>
      <c r="G413" s="554"/>
      <c r="H413" s="555"/>
      <c r="I413" s="555"/>
      <c r="J413" s="556"/>
      <c r="K413" s="1527">
        <f t="shared" si="74"/>
      </c>
      <c r="L413" s="508"/>
      <c r="N413" s="352"/>
      <c r="O413" s="352"/>
      <c r="P413" s="352"/>
      <c r="Q413" s="352"/>
      <c r="R413" s="352"/>
      <c r="S413" s="352"/>
      <c r="T413" s="352"/>
      <c r="U413" s="352"/>
      <c r="V413" s="352"/>
      <c r="W413" s="352"/>
      <c r="X413" s="352"/>
      <c r="Y413" s="352"/>
      <c r="Z413" s="352"/>
    </row>
    <row r="414" spans="1:26" s="352" customFormat="1" ht="18.75" customHeight="1">
      <c r="A414" s="8">
        <v>230</v>
      </c>
      <c r="B414" s="501">
        <v>6900</v>
      </c>
      <c r="C414" s="2249" t="s">
        <v>1292</v>
      </c>
      <c r="D414" s="2250"/>
      <c r="E414" s="1738">
        <f aca="true" t="shared" si="86" ref="E414:J414">SUM(E415:E420)</f>
        <v>0</v>
      </c>
      <c r="F414" s="503">
        <f t="shared" si="86"/>
        <v>399095</v>
      </c>
      <c r="G414" s="538">
        <f t="shared" si="86"/>
        <v>0</v>
      </c>
      <c r="H414" s="539">
        <f t="shared" si="86"/>
        <v>0</v>
      </c>
      <c r="I414" s="540">
        <f t="shared" si="86"/>
        <v>0</v>
      </c>
      <c r="J414" s="541">
        <f t="shared" si="86"/>
        <v>399095</v>
      </c>
      <c r="K414" s="1530">
        <f>(IF($E414&lt;&gt;0,$K$2,IF($F414&lt;&gt;0,$K$2,IF($F415&lt;&gt;0,$K$2,IF($F416&lt;&gt;0,$K$2,IF($F417&lt;&gt;0,$K$2,IF($F418&lt;&gt;0,$K$2,IF($F419&lt;&gt;0,$K$2,IF($F420&lt;&gt;0,$K$2,"")))))))))</f>
        <v>1</v>
      </c>
      <c r="L414" s="508"/>
      <c r="M414" s="2017"/>
      <c r="N414" s="350"/>
      <c r="O414" s="350"/>
      <c r="P414" s="350"/>
      <c r="Q414" s="350"/>
      <c r="R414" s="350"/>
      <c r="S414" s="350"/>
      <c r="T414" s="350"/>
      <c r="U414" s="350"/>
      <c r="V414" s="350"/>
      <c r="W414" s="350"/>
      <c r="X414" s="350"/>
      <c r="Y414" s="350"/>
      <c r="Z414" s="350"/>
    </row>
    <row r="415" spans="1:12" ht="18.75" customHeight="1">
      <c r="A415" s="9">
        <v>235</v>
      </c>
      <c r="B415" s="304"/>
      <c r="C415" s="525">
        <v>6901</v>
      </c>
      <c r="D415" s="294" t="s">
        <v>1345</v>
      </c>
      <c r="E415" s="659"/>
      <c r="F415" s="644">
        <f aca="true" t="shared" si="87" ref="F415:F420">G415+H415+I415+J415</f>
        <v>102263</v>
      </c>
      <c r="G415" s="1484">
        <v>0</v>
      </c>
      <c r="H415" s="1485">
        <v>0</v>
      </c>
      <c r="I415" s="1485">
        <v>0</v>
      </c>
      <c r="J415" s="544">
        <v>102263</v>
      </c>
      <c r="K415" s="1527">
        <f t="shared" si="74"/>
        <v>1</v>
      </c>
      <c r="L415" s="508"/>
    </row>
    <row r="416" spans="1:26" ht="18.75" customHeight="1">
      <c r="A416" s="9">
        <v>240</v>
      </c>
      <c r="B416" s="304"/>
      <c r="C416" s="295">
        <v>6905</v>
      </c>
      <c r="D416" s="331" t="s">
        <v>594</v>
      </c>
      <c r="E416" s="657"/>
      <c r="F416" s="646">
        <f t="shared" si="87"/>
        <v>185456</v>
      </c>
      <c r="G416" s="1486">
        <v>0</v>
      </c>
      <c r="H416" s="1487">
        <v>0</v>
      </c>
      <c r="I416" s="1487">
        <v>0</v>
      </c>
      <c r="J416" s="547">
        <v>185456</v>
      </c>
      <c r="K416" s="1527">
        <f t="shared" si="74"/>
        <v>1</v>
      </c>
      <c r="L416" s="508"/>
      <c r="N416" s="352"/>
      <c r="O416" s="352"/>
      <c r="P416" s="352"/>
      <c r="Q416" s="352"/>
      <c r="R416" s="352"/>
      <c r="S416" s="352"/>
      <c r="T416" s="352"/>
      <c r="U416" s="352"/>
      <c r="V416" s="352"/>
      <c r="W416" s="352"/>
      <c r="X416" s="352"/>
      <c r="Y416" s="352"/>
      <c r="Z416" s="352"/>
    </row>
    <row r="417" spans="1:12" ht="18.75" customHeight="1">
      <c r="A417" s="9">
        <v>240</v>
      </c>
      <c r="B417" s="304"/>
      <c r="C417" s="295">
        <v>6906</v>
      </c>
      <c r="D417" s="331" t="s">
        <v>595</v>
      </c>
      <c r="E417" s="657"/>
      <c r="F417" s="646">
        <f t="shared" si="87"/>
        <v>72955</v>
      </c>
      <c r="G417" s="1486">
        <v>0</v>
      </c>
      <c r="H417" s="1487">
        <v>0</v>
      </c>
      <c r="I417" s="1487">
        <v>0</v>
      </c>
      <c r="J417" s="547">
        <v>72955</v>
      </c>
      <c r="K417" s="1527">
        <f t="shared" si="74"/>
        <v>1</v>
      </c>
      <c r="L417" s="508"/>
    </row>
    <row r="418" spans="1:12" ht="18.75" customHeight="1">
      <c r="A418" s="9">
        <v>245</v>
      </c>
      <c r="B418" s="304"/>
      <c r="C418" s="295">
        <v>6907</v>
      </c>
      <c r="D418" s="331" t="s">
        <v>1619</v>
      </c>
      <c r="E418" s="657"/>
      <c r="F418" s="646">
        <f t="shared" si="87"/>
        <v>38421</v>
      </c>
      <c r="G418" s="1486">
        <v>0</v>
      </c>
      <c r="H418" s="1487">
        <v>0</v>
      </c>
      <c r="I418" s="1487">
        <v>0</v>
      </c>
      <c r="J418" s="547">
        <v>38421</v>
      </c>
      <c r="K418" s="1527">
        <f t="shared" si="74"/>
        <v>1</v>
      </c>
      <c r="L418" s="508"/>
    </row>
    <row r="419" spans="1:12" ht="18.75" customHeight="1">
      <c r="A419" s="9">
        <v>250</v>
      </c>
      <c r="B419" s="304"/>
      <c r="C419" s="295">
        <v>6908</v>
      </c>
      <c r="D419" s="331" t="s">
        <v>1346</v>
      </c>
      <c r="E419" s="657"/>
      <c r="F419" s="646">
        <f t="shared" si="87"/>
        <v>0</v>
      </c>
      <c r="G419" s="1486">
        <v>0</v>
      </c>
      <c r="H419" s="1487">
        <v>0</v>
      </c>
      <c r="I419" s="1487">
        <v>0</v>
      </c>
      <c r="J419" s="547"/>
      <c r="K419" s="1527">
        <f t="shared" si="74"/>
      </c>
      <c r="L419" s="508"/>
    </row>
    <row r="420" spans="1:12" ht="18.75" customHeight="1">
      <c r="A420" s="9">
        <v>255</v>
      </c>
      <c r="B420" s="304"/>
      <c r="C420" s="298">
        <v>6909</v>
      </c>
      <c r="D420" s="333" t="s">
        <v>1347</v>
      </c>
      <c r="E420" s="651"/>
      <c r="F420" s="652">
        <f t="shared" si="87"/>
        <v>0</v>
      </c>
      <c r="G420" s="1488">
        <v>0</v>
      </c>
      <c r="H420" s="1489">
        <v>0</v>
      </c>
      <c r="I420" s="1489">
        <v>0</v>
      </c>
      <c r="J420" s="556"/>
      <c r="K420" s="1527">
        <f t="shared" si="74"/>
      </c>
      <c r="L420" s="508"/>
    </row>
    <row r="421" spans="1:12" ht="20.25" customHeight="1" thickBot="1">
      <c r="A421" s="14">
        <v>260</v>
      </c>
      <c r="B421" s="1051" t="s">
        <v>1267</v>
      </c>
      <c r="C421" s="671" t="s">
        <v>754</v>
      </c>
      <c r="D421" s="672" t="s">
        <v>1609</v>
      </c>
      <c r="E421" s="509">
        <f aca="true" t="shared" si="88" ref="E421:J421">SUM(E363,E377,E385,E390,E393,E398,E401,E404,E407,E408,E411,E414)</f>
        <v>-16100000</v>
      </c>
      <c r="F421" s="509">
        <f t="shared" si="88"/>
        <v>-42350977</v>
      </c>
      <c r="G421" s="563">
        <f t="shared" si="88"/>
        <v>-42712144</v>
      </c>
      <c r="H421" s="564">
        <f t="shared" si="88"/>
        <v>0</v>
      </c>
      <c r="I421" s="564">
        <f t="shared" si="88"/>
        <v>0</v>
      </c>
      <c r="J421" s="1526">
        <f t="shared" si="88"/>
        <v>361167</v>
      </c>
      <c r="K421" s="4">
        <v>1</v>
      </c>
      <c r="L421" s="507"/>
    </row>
    <row r="422" spans="1:12" ht="16.5" thickTop="1">
      <c r="A422" s="14">
        <v>261</v>
      </c>
      <c r="B422" s="1105" t="s">
        <v>1621</v>
      </c>
      <c r="C422" s="756"/>
      <c r="D422" s="757" t="s">
        <v>591</v>
      </c>
      <c r="E422" s="660"/>
      <c r="F422" s="572"/>
      <c r="G422" s="566"/>
      <c r="H422" s="567"/>
      <c r="I422" s="566"/>
      <c r="J422" s="568"/>
      <c r="K422" s="1527">
        <f t="shared" si="74"/>
      </c>
      <c r="L422" s="507"/>
    </row>
    <row r="423" spans="1:12" ht="15.75">
      <c r="A423" s="14">
        <v>262</v>
      </c>
      <c r="B423" s="510"/>
      <c r="C423" s="511"/>
      <c r="D423" s="512"/>
      <c r="E423" s="573"/>
      <c r="F423" s="574"/>
      <c r="G423" s="569"/>
      <c r="H423" s="570"/>
      <c r="I423" s="569"/>
      <c r="J423" s="571"/>
      <c r="K423" s="1527">
        <f t="shared" si="74"/>
      </c>
      <c r="L423" s="513"/>
    </row>
    <row r="424" spans="1:26" s="352" customFormat="1" ht="18" customHeight="1">
      <c r="A424" s="17">
        <v>265</v>
      </c>
      <c r="B424" s="501">
        <v>7400</v>
      </c>
      <c r="C424" s="2249" t="s">
        <v>1184</v>
      </c>
      <c r="D424" s="2250"/>
      <c r="E424" s="502"/>
      <c r="F424" s="503">
        <f>G424+H424+I424+J424</f>
        <v>0</v>
      </c>
      <c r="G424" s="1511"/>
      <c r="H424" s="1512"/>
      <c r="I424" s="1512"/>
      <c r="J424" s="1513"/>
      <c r="K424" s="1527">
        <f t="shared" si="74"/>
      </c>
      <c r="L424" s="508"/>
      <c r="M424" s="2017"/>
      <c r="N424" s="350"/>
      <c r="O424" s="350"/>
      <c r="P424" s="350"/>
      <c r="Q424" s="350"/>
      <c r="R424" s="350"/>
      <c r="S424" s="350"/>
      <c r="T424" s="350"/>
      <c r="U424" s="350"/>
      <c r="V424" s="350"/>
      <c r="W424" s="350"/>
      <c r="X424" s="350"/>
      <c r="Y424" s="350"/>
      <c r="Z424" s="350"/>
    </row>
    <row r="425" spans="1:26" s="352" customFormat="1" ht="18" customHeight="1">
      <c r="A425" s="17">
        <v>275</v>
      </c>
      <c r="B425" s="501">
        <v>7500</v>
      </c>
      <c r="C425" s="2249" t="s">
        <v>1348</v>
      </c>
      <c r="D425" s="2250"/>
      <c r="E425" s="502"/>
      <c r="F425" s="503">
        <f>G425+H425+I425+J425</f>
        <v>0</v>
      </c>
      <c r="G425" s="1511"/>
      <c r="H425" s="1512"/>
      <c r="I425" s="1512"/>
      <c r="J425" s="1513"/>
      <c r="K425" s="1527">
        <f t="shared" si="74"/>
      </c>
      <c r="L425" s="508"/>
      <c r="M425" s="2017"/>
      <c r="N425" s="350"/>
      <c r="O425" s="350"/>
      <c r="P425" s="350"/>
      <c r="Q425" s="350"/>
      <c r="R425" s="350"/>
      <c r="S425" s="350"/>
      <c r="T425" s="350"/>
      <c r="U425" s="350"/>
      <c r="V425" s="350"/>
      <c r="W425" s="350"/>
      <c r="X425" s="350"/>
      <c r="Y425" s="350"/>
      <c r="Z425" s="350"/>
    </row>
    <row r="426" spans="1:13" s="352" customFormat="1" ht="18" customHeight="1">
      <c r="A426" s="8">
        <v>285</v>
      </c>
      <c r="B426" s="501">
        <v>7600</v>
      </c>
      <c r="C426" s="2249" t="s">
        <v>1293</v>
      </c>
      <c r="D426" s="2250"/>
      <c r="E426" s="502"/>
      <c r="F426" s="503">
        <f>G426+H426+I426+J426</f>
        <v>0</v>
      </c>
      <c r="G426" s="1511"/>
      <c r="H426" s="1512"/>
      <c r="I426" s="1512"/>
      <c r="J426" s="1513"/>
      <c r="K426" s="1527">
        <f t="shared" si="74"/>
      </c>
      <c r="L426" s="508"/>
      <c r="M426" s="2017"/>
    </row>
    <row r="427" spans="1:13" s="352" customFormat="1" ht="18" customHeight="1">
      <c r="A427" s="8">
        <v>295</v>
      </c>
      <c r="B427" s="501">
        <v>7700</v>
      </c>
      <c r="C427" s="2249" t="s">
        <v>1294</v>
      </c>
      <c r="D427" s="2250"/>
      <c r="E427" s="502"/>
      <c r="F427" s="503">
        <f>G427+H427+I427+J427</f>
        <v>0</v>
      </c>
      <c r="G427" s="1511"/>
      <c r="H427" s="1512"/>
      <c r="I427" s="1512"/>
      <c r="J427" s="1513"/>
      <c r="K427" s="1527">
        <f>(IF($E427&lt;&gt;0,$K$2,IF($F427&lt;&gt;0,$K$2,IF($G427&lt;&gt;0,$K$2,IF($H427&lt;&gt;0,$K$2,IF($I427&lt;&gt;0,$K$2,IF($J427&lt;&gt;0,$K$2,"")))))))</f>
      </c>
      <c r="L427" s="508"/>
      <c r="M427" s="2017"/>
    </row>
    <row r="428" spans="1:13" s="352" customFormat="1" ht="18.75" customHeight="1">
      <c r="A428" s="8">
        <v>215</v>
      </c>
      <c r="B428" s="501">
        <v>7800</v>
      </c>
      <c r="C428" s="2249" t="s">
        <v>1412</v>
      </c>
      <c r="D428" s="2250"/>
      <c r="E428" s="1738">
        <f aca="true" t="shared" si="89" ref="E428:J428">+E429+E430</f>
        <v>0</v>
      </c>
      <c r="F428" s="503">
        <f t="shared" si="89"/>
        <v>0</v>
      </c>
      <c r="G428" s="538">
        <f t="shared" si="89"/>
        <v>0</v>
      </c>
      <c r="H428" s="539">
        <f t="shared" si="89"/>
        <v>0</v>
      </c>
      <c r="I428" s="540">
        <f t="shared" si="89"/>
        <v>0</v>
      </c>
      <c r="J428" s="541">
        <f t="shared" si="89"/>
        <v>0</v>
      </c>
      <c r="K428" s="1527">
        <f>(IF($E428&lt;&gt;0,$K$2,IF($F428&lt;&gt;0,$K$2,IF($G428&lt;&gt;0,$K$2,IF($H428&lt;&gt;0,$K$2,IF($I428&lt;&gt;0,$K$2,IF($J428&lt;&gt;0,$K$2,"")))))))</f>
      </c>
      <c r="L428" s="508"/>
      <c r="M428" s="2017"/>
    </row>
    <row r="429" spans="1:26" ht="18" customHeight="1">
      <c r="A429" s="11">
        <v>220</v>
      </c>
      <c r="B429" s="292"/>
      <c r="C429" s="293">
        <v>7833</v>
      </c>
      <c r="D429" s="294" t="s">
        <v>1349</v>
      </c>
      <c r="E429" s="643"/>
      <c r="F429" s="644">
        <f>G429+H429+I429+J429</f>
        <v>0</v>
      </c>
      <c r="G429" s="542"/>
      <c r="H429" s="543"/>
      <c r="I429" s="543"/>
      <c r="J429" s="544"/>
      <c r="K429" s="1527">
        <f>(IF($E429&lt;&gt;0,$K$2,IF($F429&lt;&gt;0,$K$2,IF($G429&lt;&gt;0,$K$2,IF($H429&lt;&gt;0,$K$2,IF($I429&lt;&gt;0,$K$2,IF($J429&lt;&gt;0,$K$2,"")))))))</f>
      </c>
      <c r="L429" s="508"/>
      <c r="N429" s="352"/>
      <c r="O429" s="352"/>
      <c r="P429" s="352"/>
      <c r="Q429" s="352"/>
      <c r="R429" s="352"/>
      <c r="S429" s="352"/>
      <c r="T429" s="352"/>
      <c r="U429" s="352"/>
      <c r="V429" s="352"/>
      <c r="W429" s="352"/>
      <c r="X429" s="352"/>
      <c r="Y429" s="352"/>
      <c r="Z429" s="352"/>
    </row>
    <row r="430" spans="1:26" ht="15.75">
      <c r="A430" s="9">
        <v>225</v>
      </c>
      <c r="B430" s="292"/>
      <c r="C430" s="319">
        <v>7888</v>
      </c>
      <c r="D430" s="332" t="s">
        <v>1617</v>
      </c>
      <c r="E430" s="661"/>
      <c r="F430" s="662">
        <f>G430+H430+I430+J430</f>
        <v>0</v>
      </c>
      <c r="G430" s="554"/>
      <c r="H430" s="555"/>
      <c r="I430" s="555"/>
      <c r="J430" s="556"/>
      <c r="K430" s="1527">
        <f>(IF($E430&lt;&gt;0,$K$2,IF($F430&lt;&gt;0,$K$2,IF($G430&lt;&gt;0,$K$2,IF($H430&lt;&gt;0,$K$2,IF($I430&lt;&gt;0,$K$2,IF($J430&lt;&gt;0,$K$2,"")))))))</f>
      </c>
      <c r="L430" s="508"/>
      <c r="N430" s="352"/>
      <c r="O430" s="352"/>
      <c r="P430" s="352"/>
      <c r="Q430" s="352"/>
      <c r="R430" s="352"/>
      <c r="S430" s="352"/>
      <c r="T430" s="352"/>
      <c r="U430" s="352"/>
      <c r="V430" s="352"/>
      <c r="W430" s="352"/>
      <c r="X430" s="352"/>
      <c r="Y430" s="352"/>
      <c r="Z430" s="352"/>
    </row>
    <row r="431" spans="1:12" ht="20.25" customHeight="1" thickBot="1">
      <c r="A431" s="9">
        <v>315</v>
      </c>
      <c r="B431" s="1420" t="s">
        <v>1267</v>
      </c>
      <c r="C431" s="1421" t="s">
        <v>754</v>
      </c>
      <c r="D431" s="1422" t="s">
        <v>1610</v>
      </c>
      <c r="E431" s="509">
        <f aca="true" t="shared" si="90" ref="E431:J431">SUM(E424,E425,E426,E427,E428)</f>
        <v>0</v>
      </c>
      <c r="F431" s="509">
        <f t="shared" si="90"/>
        <v>0</v>
      </c>
      <c r="G431" s="1423">
        <f t="shared" si="90"/>
        <v>0</v>
      </c>
      <c r="H431" s="1424">
        <f t="shared" si="90"/>
        <v>0</v>
      </c>
      <c r="I431" s="1424">
        <f t="shared" si="90"/>
        <v>0</v>
      </c>
      <c r="J431" s="565">
        <f t="shared" si="90"/>
        <v>0</v>
      </c>
      <c r="K431" s="4">
        <v>1</v>
      </c>
      <c r="L431" s="507"/>
    </row>
    <row r="432" spans="1:12" ht="15" customHeight="1" thickTop="1">
      <c r="A432" s="9"/>
      <c r="B432" s="774"/>
      <c r="C432" s="774"/>
      <c r="D432" s="1124"/>
      <c r="E432" s="774"/>
      <c r="F432" s="774"/>
      <c r="G432" s="774"/>
      <c r="H432" s="774"/>
      <c r="I432" s="774"/>
      <c r="J432" s="774"/>
      <c r="K432" s="4">
        <v>1</v>
      </c>
      <c r="L432" s="507"/>
    </row>
    <row r="433" spans="1:12" ht="15">
      <c r="A433" s="9"/>
      <c r="B433" s="1425"/>
      <c r="C433" s="1425"/>
      <c r="D433" s="1426"/>
      <c r="E433" s="1427"/>
      <c r="F433" s="1427"/>
      <c r="G433" s="1427"/>
      <c r="H433" s="1427"/>
      <c r="I433" s="1427"/>
      <c r="J433" s="1427"/>
      <c r="K433" s="4">
        <v>1</v>
      </c>
      <c r="L433" s="507"/>
    </row>
    <row r="434" spans="1:12" ht="15">
      <c r="A434" s="9"/>
      <c r="B434" s="774"/>
      <c r="C434" s="1121"/>
      <c r="D434" s="1147"/>
      <c r="E434" s="775"/>
      <c r="F434" s="775"/>
      <c r="G434" s="775"/>
      <c r="H434" s="775"/>
      <c r="I434" s="775"/>
      <c r="J434" s="775"/>
      <c r="K434" s="4">
        <v>1</v>
      </c>
      <c r="L434" s="531"/>
    </row>
    <row r="435" spans="1:12" ht="21" customHeight="1">
      <c r="A435" s="9"/>
      <c r="B435" s="2254" t="str">
        <f>$B$7</f>
        <v>ОТЧЕТНИ ДАННИ ПО ЕБК ЗА ИЗПЪЛНЕНИЕТО НА БЮДЖЕТА</v>
      </c>
      <c r="C435" s="2255"/>
      <c r="D435" s="2255"/>
      <c r="E435" s="775"/>
      <c r="F435" s="775"/>
      <c r="G435" s="775"/>
      <c r="H435" s="775"/>
      <c r="I435" s="775"/>
      <c r="J435" s="1163"/>
      <c r="K435" s="4">
        <v>1</v>
      </c>
      <c r="L435" s="531"/>
    </row>
    <row r="436" spans="1:12" ht="18.75" customHeight="1">
      <c r="A436" s="9"/>
      <c r="B436" s="774"/>
      <c r="C436" s="1121"/>
      <c r="D436" s="1147"/>
      <c r="E436" s="1148" t="s">
        <v>1604</v>
      </c>
      <c r="F436" s="1148" t="s">
        <v>889</v>
      </c>
      <c r="G436" s="775"/>
      <c r="H436" s="775"/>
      <c r="I436" s="775"/>
      <c r="J436" s="775"/>
      <c r="K436" s="4">
        <v>1</v>
      </c>
      <c r="L436" s="531"/>
    </row>
    <row r="437" spans="1:12" ht="27" customHeight="1">
      <c r="A437" s="9"/>
      <c r="B437" s="2210" t="str">
        <f>$B$9</f>
        <v>КОМИСИЯ ЗА РЕГУЛИРАНЕ НА СЪОБЩЕНИЯТА</v>
      </c>
      <c r="C437" s="2211"/>
      <c r="D437" s="2212"/>
      <c r="E437" s="1066">
        <f>$E$9</f>
        <v>43101</v>
      </c>
      <c r="F437" s="1393">
        <f>$F$9</f>
        <v>43190</v>
      </c>
      <c r="G437" s="775"/>
      <c r="H437" s="775"/>
      <c r="I437" s="775"/>
      <c r="J437" s="775"/>
      <c r="K437" s="4">
        <v>1</v>
      </c>
      <c r="L437" s="531"/>
    </row>
    <row r="438" spans="1:12" ht="15">
      <c r="A438" s="9"/>
      <c r="B438" s="1153" t="str">
        <f>$B$10</f>
        <v>                                                            (наименование на разпоредителя с бюджет)</v>
      </c>
      <c r="C438" s="774"/>
      <c r="D438" s="1124"/>
      <c r="E438" s="775"/>
      <c r="F438" s="775"/>
      <c r="G438" s="775"/>
      <c r="H438" s="775"/>
      <c r="I438" s="775"/>
      <c r="J438" s="775"/>
      <c r="K438" s="4">
        <v>1</v>
      </c>
      <c r="L438" s="531"/>
    </row>
    <row r="439" spans="1:12" ht="5.25" customHeight="1">
      <c r="A439" s="9"/>
      <c r="B439" s="1153"/>
      <c r="C439" s="774"/>
      <c r="D439" s="1124"/>
      <c r="E439" s="1281"/>
      <c r="F439" s="775"/>
      <c r="G439" s="775"/>
      <c r="H439" s="775"/>
      <c r="I439" s="775"/>
      <c r="J439" s="775"/>
      <c r="K439" s="4">
        <v>1</v>
      </c>
      <c r="L439" s="531"/>
    </row>
    <row r="440" spans="1:12" ht="27.75" customHeight="1">
      <c r="A440" s="9"/>
      <c r="B440" s="2237" t="str">
        <f>$B$12</f>
        <v>Комисия за регулиране на съобщенията</v>
      </c>
      <c r="C440" s="2238"/>
      <c r="D440" s="2239"/>
      <c r="E440" s="1394" t="s">
        <v>1249</v>
      </c>
      <c r="F440" s="1902" t="str">
        <f>$F$12</f>
        <v>4300</v>
      </c>
      <c r="G440" s="775"/>
      <c r="H440" s="775"/>
      <c r="I440" s="775"/>
      <c r="J440" s="775"/>
      <c r="K440" s="4">
        <v>1</v>
      </c>
      <c r="L440" s="531"/>
    </row>
    <row r="441" spans="1:12" ht="15.75">
      <c r="A441" s="9"/>
      <c r="B441" s="1395" t="str">
        <f>$B$13</f>
        <v>                                             (наименование на първостепенния разпоредител с бюджет)</v>
      </c>
      <c r="C441" s="1123"/>
      <c r="D441" s="775"/>
      <c r="E441" s="1281"/>
      <c r="F441" s="775"/>
      <c r="G441" s="775"/>
      <c r="H441" s="775"/>
      <c r="I441" s="775"/>
      <c r="J441" s="775"/>
      <c r="K441" s="4">
        <v>1</v>
      </c>
      <c r="L441" s="531"/>
    </row>
    <row r="442" spans="1:12" ht="18">
      <c r="A442" s="9"/>
      <c r="B442" s="775"/>
      <c r="C442" s="775"/>
      <c r="D442" s="1500" t="s">
        <v>1424</v>
      </c>
      <c r="E442" s="1162">
        <f>$E$15</f>
        <v>0</v>
      </c>
      <c r="F442" s="1495" t="str">
        <f>+$F$15</f>
        <v>БЮДЖЕТ</v>
      </c>
      <c r="G442" s="775"/>
      <c r="H442" s="775"/>
      <c r="I442" s="775"/>
      <c r="J442" s="775"/>
      <c r="K442" s="4">
        <v>1</v>
      </c>
      <c r="L442" s="531"/>
    </row>
    <row r="443" spans="1:12" ht="21" customHeight="1">
      <c r="A443" s="9"/>
      <c r="B443" s="775"/>
      <c r="C443" s="775"/>
      <c r="D443" s="775"/>
      <c r="E443" s="775"/>
      <c r="F443" s="775"/>
      <c r="G443" s="775"/>
      <c r="H443" s="775"/>
      <c r="I443" s="775"/>
      <c r="J443" s="775"/>
      <c r="K443" s="4">
        <v>1</v>
      </c>
      <c r="L443" s="531"/>
    </row>
    <row r="444" spans="1:12" ht="22.5" customHeight="1" thickBot="1">
      <c r="A444" s="9"/>
      <c r="B444" s="1428"/>
      <c r="C444" s="1121"/>
      <c r="D444" s="1142"/>
      <c r="E444" s="775"/>
      <c r="F444" s="1165"/>
      <c r="G444" s="1165"/>
      <c r="H444" s="1165"/>
      <c r="I444" s="1165"/>
      <c r="J444" s="1166" t="s">
        <v>986</v>
      </c>
      <c r="K444" s="4">
        <v>1</v>
      </c>
      <c r="L444" s="531"/>
    </row>
    <row r="445" spans="1:12" ht="48" customHeight="1">
      <c r="A445" s="9"/>
      <c r="B445" s="1429"/>
      <c r="C445" s="1429"/>
      <c r="D445" s="1430" t="s">
        <v>1624</v>
      </c>
      <c r="E445" s="1431" t="s">
        <v>2183</v>
      </c>
      <c r="F445" s="746" t="s">
        <v>1644</v>
      </c>
      <c r="G445" s="1432" t="s">
        <v>1261</v>
      </c>
      <c r="H445" s="1433" t="s">
        <v>1352</v>
      </c>
      <c r="I445" s="1434" t="s">
        <v>1250</v>
      </c>
      <c r="J445" s="1435" t="s">
        <v>1251</v>
      </c>
      <c r="K445" s="4">
        <v>1</v>
      </c>
      <c r="L445" s="531"/>
    </row>
    <row r="446" spans="1:12" ht="18.75" thickBot="1">
      <c r="A446" s="9"/>
      <c r="B446" s="1436"/>
      <c r="C446" s="1183"/>
      <c r="D446" s="1437" t="s">
        <v>1235</v>
      </c>
      <c r="E446" s="1438" t="s">
        <v>604</v>
      </c>
      <c r="F446" s="1439" t="s">
        <v>1645</v>
      </c>
      <c r="G446" s="1440" t="s">
        <v>1365</v>
      </c>
      <c r="H446" s="532" t="s">
        <v>1366</v>
      </c>
      <c r="I446" s="532" t="s">
        <v>1339</v>
      </c>
      <c r="J446" s="533" t="s">
        <v>1232</v>
      </c>
      <c r="K446" s="4">
        <v>1</v>
      </c>
      <c r="L446" s="531"/>
    </row>
    <row r="447" spans="1:12" ht="21" customHeight="1" thickTop="1">
      <c r="A447" s="9"/>
      <c r="B447" s="1121"/>
      <c r="C447" s="1274"/>
      <c r="D447" s="1441" t="s">
        <v>1623</v>
      </c>
      <c r="E447" s="1442">
        <f aca="true" t="shared" si="91" ref="E447:J447">+E170-E303+E421+E431</f>
        <v>37430800</v>
      </c>
      <c r="F447" s="1442">
        <f t="shared" si="91"/>
        <v>17495</v>
      </c>
      <c r="G447" s="1443">
        <f t="shared" si="91"/>
        <v>56109</v>
      </c>
      <c r="H447" s="1444">
        <f t="shared" si="91"/>
        <v>0</v>
      </c>
      <c r="I447" s="1444">
        <f t="shared" si="91"/>
        <v>-38614</v>
      </c>
      <c r="J447" s="1445">
        <f t="shared" si="91"/>
        <v>0</v>
      </c>
      <c r="K447" s="4">
        <v>1</v>
      </c>
      <c r="L447" s="531"/>
    </row>
    <row r="448" spans="1:12" ht="16.5" thickBot="1">
      <c r="A448" s="9"/>
      <c r="B448" s="1121"/>
      <c r="C448" s="1122"/>
      <c r="D448" s="1446" t="s">
        <v>1622</v>
      </c>
      <c r="E448" s="1447">
        <f aca="true" t="shared" si="92" ref="E448:J449">+E599</f>
        <v>-37430800</v>
      </c>
      <c r="F448" s="1447">
        <f t="shared" si="92"/>
        <v>-17495</v>
      </c>
      <c r="G448" s="1448">
        <f t="shared" si="92"/>
        <v>-56109</v>
      </c>
      <c r="H448" s="1449">
        <f t="shared" si="92"/>
        <v>0</v>
      </c>
      <c r="I448" s="1449">
        <f t="shared" si="92"/>
        <v>38614</v>
      </c>
      <c r="J448" s="1450">
        <f t="shared" si="92"/>
        <v>0</v>
      </c>
      <c r="K448" s="4">
        <v>1</v>
      </c>
      <c r="L448" s="531"/>
    </row>
    <row r="449" spans="1:12" ht="18.75" customHeight="1" thickTop="1">
      <c r="A449" s="9"/>
      <c r="B449" s="1121"/>
      <c r="C449" s="1122"/>
      <c r="D449" s="1462">
        <f>+IF(+SUM(E449:J449)=0,0,"Контрола: дефицит/излишък = финансиране с обратен знак (V. + VІ. = 0)")</f>
        <v>0</v>
      </c>
      <c r="E449" s="1096">
        <f t="shared" si="92"/>
        <v>0</v>
      </c>
      <c r="F449" s="1097">
        <f t="shared" si="92"/>
        <v>0</v>
      </c>
      <c r="G449" s="1098">
        <f t="shared" si="92"/>
        <v>0</v>
      </c>
      <c r="H449" s="1098">
        <f t="shared" si="92"/>
        <v>0</v>
      </c>
      <c r="I449" s="1098">
        <f t="shared" si="92"/>
        <v>0</v>
      </c>
      <c r="J449" s="1098">
        <f t="shared" si="92"/>
        <v>0</v>
      </c>
      <c r="K449" s="4">
        <v>1</v>
      </c>
      <c r="L449" s="531"/>
    </row>
    <row r="450" spans="1:12" ht="15">
      <c r="A450" s="9"/>
      <c r="B450" s="1451"/>
      <c r="C450" s="1451"/>
      <c r="D450" s="1452"/>
      <c r="E450" s="1453"/>
      <c r="F450" s="1453"/>
      <c r="G450" s="1453"/>
      <c r="H450" s="1453"/>
      <c r="I450" s="1453"/>
      <c r="J450" s="1453"/>
      <c r="K450" s="4">
        <v>1</v>
      </c>
      <c r="L450" s="531"/>
    </row>
    <row r="451" spans="1:12" ht="20.25" customHeight="1">
      <c r="A451" s="9"/>
      <c r="B451" s="2208" t="str">
        <f>$B$7</f>
        <v>ОТЧЕТНИ ДАННИ ПО ЕБК ЗА ИЗПЪЛНЕНИЕТО НА БЮДЖЕТА</v>
      </c>
      <c r="C451" s="2209"/>
      <c r="D451" s="2209"/>
      <c r="E451" s="775"/>
      <c r="F451" s="775"/>
      <c r="G451" s="775"/>
      <c r="H451" s="775"/>
      <c r="I451" s="775"/>
      <c r="J451" s="1146"/>
      <c r="K451" s="4">
        <v>1</v>
      </c>
      <c r="L451" s="531"/>
    </row>
    <row r="452" spans="1:12" ht="18.75" customHeight="1">
      <c r="A452" s="9"/>
      <c r="B452" s="774"/>
      <c r="C452" s="1121"/>
      <c r="D452" s="1147"/>
      <c r="E452" s="1148" t="s">
        <v>1604</v>
      </c>
      <c r="F452" s="1148" t="s">
        <v>889</v>
      </c>
      <c r="G452" s="775"/>
      <c r="H452" s="775"/>
      <c r="I452" s="775"/>
      <c r="J452" s="775"/>
      <c r="K452" s="4">
        <v>1</v>
      </c>
      <c r="L452" s="531"/>
    </row>
    <row r="453" spans="1:12" ht="27" customHeight="1">
      <c r="A453" s="9"/>
      <c r="B453" s="2210" t="str">
        <f>$B$9</f>
        <v>КОМИСИЯ ЗА РЕГУЛИРАНЕ НА СЪОБЩЕНИЯТА</v>
      </c>
      <c r="C453" s="2211"/>
      <c r="D453" s="2212"/>
      <c r="E453" s="1066">
        <f>$E$9</f>
        <v>43101</v>
      </c>
      <c r="F453" s="1393">
        <f>$F$9</f>
        <v>43190</v>
      </c>
      <c r="G453" s="775"/>
      <c r="H453" s="775"/>
      <c r="I453" s="775"/>
      <c r="J453" s="775"/>
      <c r="K453" s="4">
        <v>1</v>
      </c>
      <c r="L453" s="531"/>
    </row>
    <row r="454" spans="1:12" ht="15">
      <c r="A454" s="9"/>
      <c r="B454" s="1153" t="str">
        <f>$B$10</f>
        <v>                                                            (наименование на разпоредителя с бюджет)</v>
      </c>
      <c r="C454" s="774"/>
      <c r="D454" s="1124"/>
      <c r="E454" s="775"/>
      <c r="F454" s="775"/>
      <c r="G454" s="775"/>
      <c r="H454" s="775"/>
      <c r="I454" s="775"/>
      <c r="J454" s="775"/>
      <c r="K454" s="4">
        <v>1</v>
      </c>
      <c r="L454" s="531"/>
    </row>
    <row r="455" spans="1:12" ht="5.25" customHeight="1">
      <c r="A455" s="9"/>
      <c r="B455" s="1153"/>
      <c r="C455" s="774"/>
      <c r="D455" s="1124"/>
      <c r="E455" s="1281"/>
      <c r="F455" s="775"/>
      <c r="G455" s="775"/>
      <c r="H455" s="775"/>
      <c r="I455" s="775"/>
      <c r="J455" s="775"/>
      <c r="K455" s="4">
        <v>1</v>
      </c>
      <c r="L455" s="531"/>
    </row>
    <row r="456" spans="1:12" ht="27" customHeight="1">
      <c r="A456" s="9"/>
      <c r="B456" s="2237" t="str">
        <f>$B$12</f>
        <v>Комисия за регулиране на съобщенията</v>
      </c>
      <c r="C456" s="2238"/>
      <c r="D456" s="2239"/>
      <c r="E456" s="1394" t="s">
        <v>1249</v>
      </c>
      <c r="F456" s="1902" t="str">
        <f>$F$12</f>
        <v>4300</v>
      </c>
      <c r="G456" s="775"/>
      <c r="H456" s="775"/>
      <c r="I456" s="775"/>
      <c r="J456" s="775"/>
      <c r="K456" s="4">
        <v>1</v>
      </c>
      <c r="L456" s="531"/>
    </row>
    <row r="457" spans="1:12" ht="15">
      <c r="A457" s="9"/>
      <c r="B457" s="775"/>
      <c r="C457" s="1123"/>
      <c r="D457" s="775"/>
      <c r="E457" s="1281"/>
      <c r="F457" s="775"/>
      <c r="G457" s="775"/>
      <c r="H457" s="775"/>
      <c r="I457" s="775"/>
      <c r="J457" s="775"/>
      <c r="K457" s="4">
        <v>1</v>
      </c>
      <c r="L457" s="531"/>
    </row>
    <row r="458" spans="1:12" ht="18">
      <c r="A458" s="9"/>
      <c r="B458" s="1160"/>
      <c r="C458" s="775"/>
      <c r="D458" s="1500" t="s">
        <v>1424</v>
      </c>
      <c r="E458" s="1162">
        <f>$E$15</f>
        <v>0</v>
      </c>
      <c r="F458" s="1495" t="str">
        <f>+$F$15</f>
        <v>БЮДЖЕТ</v>
      </c>
      <c r="G458" s="775"/>
      <c r="H458" s="1163"/>
      <c r="I458" s="775"/>
      <c r="J458" s="1163"/>
      <c r="K458" s="4">
        <v>1</v>
      </c>
      <c r="L458" s="531"/>
    </row>
    <row r="459" spans="1:12" ht="14.25" customHeight="1" thickBot="1">
      <c r="A459" s="9"/>
      <c r="B459" s="774"/>
      <c r="C459" s="1121"/>
      <c r="D459" s="1147"/>
      <c r="E459" s="775"/>
      <c r="F459" s="1165"/>
      <c r="G459" s="1165"/>
      <c r="H459" s="1165"/>
      <c r="I459" s="1165"/>
      <c r="J459" s="1166" t="s">
        <v>986</v>
      </c>
      <c r="K459" s="4">
        <v>1</v>
      </c>
      <c r="L459" s="531"/>
    </row>
    <row r="460" spans="1:12" ht="22.5" customHeight="1">
      <c r="A460" s="9"/>
      <c r="B460" s="1463" t="s">
        <v>1431</v>
      </c>
      <c r="C460" s="1464"/>
      <c r="D460" s="1467"/>
      <c r="E460" s="1468" t="s">
        <v>988</v>
      </c>
      <c r="F460" s="1469" t="s">
        <v>1264</v>
      </c>
      <c r="G460" s="1470"/>
      <c r="H460" s="1471"/>
      <c r="I460" s="1470"/>
      <c r="J460" s="1472"/>
      <c r="K460" s="4">
        <v>1</v>
      </c>
      <c r="L460" s="531"/>
    </row>
    <row r="461" spans="1:12" ht="60" customHeight="1">
      <c r="A461" s="9"/>
      <c r="B461" s="1465" t="s">
        <v>937</v>
      </c>
      <c r="C461" s="1466" t="s">
        <v>990</v>
      </c>
      <c r="D461" s="1454" t="s">
        <v>588</v>
      </c>
      <c r="E461" s="1473">
        <f>$C$3</f>
        <v>2018</v>
      </c>
      <c r="F461" s="1474" t="s">
        <v>1262</v>
      </c>
      <c r="G461" s="1455" t="s">
        <v>1261</v>
      </c>
      <c r="H461" s="1456" t="s">
        <v>1352</v>
      </c>
      <c r="I461" s="1457" t="s">
        <v>1250</v>
      </c>
      <c r="J461" s="1458" t="s">
        <v>1251</v>
      </c>
      <c r="K461" s="4">
        <v>1</v>
      </c>
      <c r="L461" s="531"/>
    </row>
    <row r="462" spans="1:12" ht="18">
      <c r="A462" s="9">
        <v>1</v>
      </c>
      <c r="B462" s="1459"/>
      <c r="C462" s="1460"/>
      <c r="D462" s="1461" t="s">
        <v>1338</v>
      </c>
      <c r="E462" s="1438" t="s">
        <v>604</v>
      </c>
      <c r="F462" s="1438" t="s">
        <v>605</v>
      </c>
      <c r="G462" s="1440" t="s">
        <v>1365</v>
      </c>
      <c r="H462" s="532" t="s">
        <v>1366</v>
      </c>
      <c r="I462" s="532" t="s">
        <v>1339</v>
      </c>
      <c r="J462" s="533" t="s">
        <v>1232</v>
      </c>
      <c r="K462" s="4">
        <v>1</v>
      </c>
      <c r="L462" s="531"/>
    </row>
    <row r="463" spans="1:26" s="352" customFormat="1" ht="18.75" customHeight="1">
      <c r="A463" s="8">
        <v>5</v>
      </c>
      <c r="B463" s="537">
        <v>7000</v>
      </c>
      <c r="C463" s="2257" t="s">
        <v>1186</v>
      </c>
      <c r="D463" s="2258"/>
      <c r="E463" s="1739">
        <f aca="true" t="shared" si="93" ref="E463:J463">SUM(E464:E466)</f>
        <v>0</v>
      </c>
      <c r="F463" s="663">
        <f t="shared" si="93"/>
        <v>0</v>
      </c>
      <c r="G463" s="728">
        <f t="shared" si="93"/>
        <v>0</v>
      </c>
      <c r="H463" s="729">
        <f t="shared" si="93"/>
        <v>0</v>
      </c>
      <c r="I463" s="730">
        <f t="shared" si="93"/>
        <v>0</v>
      </c>
      <c r="J463" s="697">
        <f t="shared" si="93"/>
        <v>0</v>
      </c>
      <c r="K463" s="1527">
        <f aca="true" t="shared" si="94" ref="K463:K526">(IF($E463&lt;&gt;0,$K$2,IF($F463&lt;&gt;0,$K$2,IF($G463&lt;&gt;0,$K$2,IF($H463&lt;&gt;0,$K$2,IF($I463&lt;&gt;0,$K$2,IF($J463&lt;&gt;0,$K$2,"")))))))</f>
      </c>
      <c r="L463" s="686"/>
      <c r="M463" s="2017"/>
      <c r="N463" s="350"/>
      <c r="O463" s="350"/>
      <c r="P463" s="350"/>
      <c r="Q463" s="350"/>
      <c r="R463" s="350"/>
      <c r="S463" s="350"/>
      <c r="T463" s="350"/>
      <c r="U463" s="350"/>
      <c r="V463" s="350"/>
      <c r="W463" s="350"/>
      <c r="X463" s="350"/>
      <c r="Y463" s="350"/>
      <c r="Z463" s="350"/>
    </row>
    <row r="464" spans="1:12" ht="18.75" customHeight="1">
      <c r="A464" s="9">
        <v>10</v>
      </c>
      <c r="B464" s="382"/>
      <c r="C464" s="293">
        <v>7001</v>
      </c>
      <c r="D464" s="467" t="s">
        <v>1295</v>
      </c>
      <c r="E464" s="643"/>
      <c r="F464" s="644">
        <f>G464+H464+I464+J464</f>
        <v>0</v>
      </c>
      <c r="G464" s="542"/>
      <c r="H464" s="543"/>
      <c r="I464" s="543"/>
      <c r="J464" s="544"/>
      <c r="K464" s="1527">
        <f t="shared" si="94"/>
      </c>
      <c r="L464" s="686"/>
    </row>
    <row r="465" spans="1:26" ht="18.75" customHeight="1">
      <c r="A465" s="10">
        <v>20</v>
      </c>
      <c r="B465" s="382"/>
      <c r="C465" s="295">
        <v>7003</v>
      </c>
      <c r="D465" s="331" t="s">
        <v>1187</v>
      </c>
      <c r="E465" s="645"/>
      <c r="F465" s="646">
        <f>G465+H465+I465+J465</f>
        <v>0</v>
      </c>
      <c r="G465" s="545"/>
      <c r="H465" s="546"/>
      <c r="I465" s="546"/>
      <c r="J465" s="547"/>
      <c r="K465" s="1527">
        <f t="shared" si="94"/>
      </c>
      <c r="L465" s="686"/>
      <c r="N465" s="352"/>
      <c r="O465" s="352"/>
      <c r="P465" s="352"/>
      <c r="Q465" s="352"/>
      <c r="R465" s="352"/>
      <c r="S465" s="352"/>
      <c r="T465" s="352"/>
      <c r="U465" s="352"/>
      <c r="V465" s="352"/>
      <c r="W465" s="352"/>
      <c r="X465" s="352"/>
      <c r="Y465" s="352"/>
      <c r="Z465" s="352"/>
    </row>
    <row r="466" spans="1:12" ht="18.75" customHeight="1">
      <c r="A466" s="10">
        <v>25</v>
      </c>
      <c r="B466" s="382"/>
      <c r="C466" s="298">
        <v>7010</v>
      </c>
      <c r="D466" s="335" t="s">
        <v>1188</v>
      </c>
      <c r="E466" s="651"/>
      <c r="F466" s="652">
        <f>G466+H466+I466+J466</f>
        <v>0</v>
      </c>
      <c r="G466" s="554"/>
      <c r="H466" s="555"/>
      <c r="I466" s="555"/>
      <c r="J466" s="556"/>
      <c r="K466" s="1527">
        <f t="shared" si="94"/>
      </c>
      <c r="L466" s="686"/>
    </row>
    <row r="467" spans="1:26" s="352" customFormat="1" ht="18.75" customHeight="1">
      <c r="A467" s="8">
        <v>30</v>
      </c>
      <c r="B467" s="537">
        <v>7100</v>
      </c>
      <c r="C467" s="2273" t="s">
        <v>1189</v>
      </c>
      <c r="D467" s="2273"/>
      <c r="E467" s="1739">
        <f aca="true" t="shared" si="95" ref="E467:J467">+E468+E469</f>
        <v>0</v>
      </c>
      <c r="F467" s="663">
        <f t="shared" si="95"/>
        <v>0</v>
      </c>
      <c r="G467" s="731">
        <f t="shared" si="95"/>
        <v>0</v>
      </c>
      <c r="H467" s="729">
        <f t="shared" si="95"/>
        <v>0</v>
      </c>
      <c r="I467" s="729">
        <f t="shared" si="95"/>
        <v>0</v>
      </c>
      <c r="J467" s="697">
        <f t="shared" si="95"/>
        <v>0</v>
      </c>
      <c r="K467" s="1527">
        <f t="shared" si="94"/>
      </c>
      <c r="L467" s="686"/>
      <c r="M467" s="2017"/>
      <c r="N467" s="350"/>
      <c r="O467" s="350"/>
      <c r="P467" s="350"/>
      <c r="Q467" s="350"/>
      <c r="R467" s="350"/>
      <c r="S467" s="350"/>
      <c r="T467" s="350"/>
      <c r="U467" s="350"/>
      <c r="V467" s="350"/>
      <c r="W467" s="350"/>
      <c r="X467" s="350"/>
      <c r="Y467" s="350"/>
      <c r="Z467" s="350"/>
    </row>
    <row r="468" spans="1:12" ht="18.75" customHeight="1">
      <c r="A468" s="9">
        <v>35</v>
      </c>
      <c r="B468" s="382"/>
      <c r="C468" s="293">
        <v>7101</v>
      </c>
      <c r="D468" s="474" t="s">
        <v>1190</v>
      </c>
      <c r="E468" s="643"/>
      <c r="F468" s="644">
        <f>G468+H468+I468+J468</f>
        <v>0</v>
      </c>
      <c r="G468" s="542"/>
      <c r="H468" s="543"/>
      <c r="I468" s="543"/>
      <c r="J468" s="544"/>
      <c r="K468" s="1527">
        <f t="shared" si="94"/>
      </c>
      <c r="L468" s="686"/>
    </row>
    <row r="469" spans="1:26" ht="18.75" customHeight="1">
      <c r="A469" s="9">
        <v>40</v>
      </c>
      <c r="B469" s="382"/>
      <c r="C469" s="298">
        <v>7102</v>
      </c>
      <c r="D469" s="335" t="s">
        <v>1191</v>
      </c>
      <c r="E469" s="651"/>
      <c r="F469" s="652">
        <f>G469+H469+I469+J469</f>
        <v>0</v>
      </c>
      <c r="G469" s="554"/>
      <c r="H469" s="555"/>
      <c r="I469" s="555"/>
      <c r="J469" s="556"/>
      <c r="K469" s="1527">
        <f t="shared" si="94"/>
      </c>
      <c r="L469" s="686"/>
      <c r="N469" s="352"/>
      <c r="O469" s="352"/>
      <c r="P469" s="352"/>
      <c r="Q469" s="352"/>
      <c r="R469" s="352"/>
      <c r="S469" s="352"/>
      <c r="T469" s="352"/>
      <c r="U469" s="352"/>
      <c r="V469" s="352"/>
      <c r="W469" s="352"/>
      <c r="X469" s="352"/>
      <c r="Y469" s="352"/>
      <c r="Z469" s="352"/>
    </row>
    <row r="470" spans="1:26" s="352" customFormat="1" ht="18.75" customHeight="1">
      <c r="A470" s="8">
        <v>45</v>
      </c>
      <c r="B470" s="537">
        <v>7200</v>
      </c>
      <c r="C470" s="2273" t="s">
        <v>2112</v>
      </c>
      <c r="D470" s="2273"/>
      <c r="E470" s="1739">
        <f aca="true" t="shared" si="96" ref="E470:J470">+E471+E472</f>
        <v>0</v>
      </c>
      <c r="F470" s="663">
        <f t="shared" si="96"/>
        <v>0</v>
      </c>
      <c r="G470" s="731">
        <f t="shared" si="96"/>
        <v>0</v>
      </c>
      <c r="H470" s="729">
        <f t="shared" si="96"/>
        <v>0</v>
      </c>
      <c r="I470" s="729">
        <f t="shared" si="96"/>
        <v>0</v>
      </c>
      <c r="J470" s="697">
        <f t="shared" si="96"/>
        <v>0</v>
      </c>
      <c r="K470" s="1527">
        <f t="shared" si="94"/>
      </c>
      <c r="L470" s="686"/>
      <c r="M470" s="2017"/>
      <c r="N470" s="350"/>
      <c r="O470" s="350"/>
      <c r="P470" s="350"/>
      <c r="Q470" s="350"/>
      <c r="R470" s="350"/>
      <c r="S470" s="350"/>
      <c r="T470" s="350"/>
      <c r="U470" s="350"/>
      <c r="V470" s="350"/>
      <c r="W470" s="350"/>
      <c r="X470" s="350"/>
      <c r="Y470" s="350"/>
      <c r="Z470" s="350"/>
    </row>
    <row r="471" spans="1:12" ht="18.75" customHeight="1">
      <c r="A471" s="9">
        <v>50</v>
      </c>
      <c r="B471" s="382"/>
      <c r="C471" s="673">
        <v>7201</v>
      </c>
      <c r="D471" s="674" t="s">
        <v>2113</v>
      </c>
      <c r="E471" s="675"/>
      <c r="F471" s="676">
        <f>G471+H471+I471+J471</f>
        <v>0</v>
      </c>
      <c r="G471" s="732"/>
      <c r="H471" s="733"/>
      <c r="I471" s="733"/>
      <c r="J471" s="698"/>
      <c r="K471" s="1527">
        <f t="shared" si="94"/>
      </c>
      <c r="L471" s="686"/>
    </row>
    <row r="472" spans="1:26" ht="18.75" customHeight="1">
      <c r="A472" s="9">
        <v>55</v>
      </c>
      <c r="B472" s="382"/>
      <c r="C472" s="319">
        <v>7202</v>
      </c>
      <c r="D472" s="677" t="s">
        <v>2114</v>
      </c>
      <c r="E472" s="661"/>
      <c r="F472" s="662">
        <f>G472+H472+I472+J472</f>
        <v>0</v>
      </c>
      <c r="G472" s="609"/>
      <c r="H472" s="610"/>
      <c r="I472" s="610"/>
      <c r="J472" s="611"/>
      <c r="K472" s="1527">
        <f t="shared" si="94"/>
      </c>
      <c r="L472" s="686"/>
      <c r="N472" s="352"/>
      <c r="O472" s="352"/>
      <c r="P472" s="352"/>
      <c r="Q472" s="352"/>
      <c r="R472" s="352"/>
      <c r="S472" s="352"/>
      <c r="T472" s="352"/>
      <c r="U472" s="352"/>
      <c r="V472" s="352"/>
      <c r="W472" s="352"/>
      <c r="X472" s="352"/>
      <c r="Y472" s="352"/>
      <c r="Z472" s="352"/>
    </row>
    <row r="473" spans="1:26" s="352" customFormat="1" ht="18.75" customHeight="1">
      <c r="A473" s="8">
        <v>60</v>
      </c>
      <c r="B473" s="537">
        <v>7300</v>
      </c>
      <c r="C473" s="2257" t="s">
        <v>1192</v>
      </c>
      <c r="D473" s="2258"/>
      <c r="E473" s="1739">
        <f aca="true" t="shared" si="97" ref="E473:J473">SUM(E474:E479)</f>
        <v>0</v>
      </c>
      <c r="F473" s="663">
        <f t="shared" si="97"/>
        <v>0</v>
      </c>
      <c r="G473" s="731">
        <f t="shared" si="97"/>
        <v>0</v>
      </c>
      <c r="H473" s="1515">
        <f t="shared" si="97"/>
        <v>0</v>
      </c>
      <c r="I473" s="729">
        <f t="shared" si="97"/>
        <v>0</v>
      </c>
      <c r="J473" s="1516">
        <f t="shared" si="97"/>
        <v>0</v>
      </c>
      <c r="K473" s="1527">
        <f t="shared" si="94"/>
      </c>
      <c r="L473" s="686"/>
      <c r="M473" s="2017"/>
      <c r="N473" s="350"/>
      <c r="O473" s="350"/>
      <c r="P473" s="350"/>
      <c r="Q473" s="350"/>
      <c r="R473" s="350"/>
      <c r="S473" s="350"/>
      <c r="T473" s="350"/>
      <c r="U473" s="350"/>
      <c r="V473" s="350"/>
      <c r="W473" s="350"/>
      <c r="X473" s="350"/>
      <c r="Y473" s="350"/>
      <c r="Z473" s="350"/>
    </row>
    <row r="474" spans="1:12" ht="18.75" customHeight="1">
      <c r="A474" s="9">
        <v>65</v>
      </c>
      <c r="B474" s="292"/>
      <c r="C474" s="673">
        <v>7320</v>
      </c>
      <c r="D474" s="678" t="s">
        <v>1193</v>
      </c>
      <c r="E474" s="679"/>
      <c r="F474" s="676">
        <f aca="true" t="shared" si="98" ref="F474:F479">G474+H474+I474+J474</f>
        <v>0</v>
      </c>
      <c r="G474" s="732"/>
      <c r="H474" s="543"/>
      <c r="I474" s="543"/>
      <c r="J474" s="544"/>
      <c r="K474" s="1527">
        <f t="shared" si="94"/>
      </c>
      <c r="L474" s="686"/>
    </row>
    <row r="475" spans="1:26" ht="31.5">
      <c r="A475" s="9">
        <v>85</v>
      </c>
      <c r="B475" s="292"/>
      <c r="C475" s="319">
        <v>7369</v>
      </c>
      <c r="D475" s="692" t="s">
        <v>1194</v>
      </c>
      <c r="E475" s="693"/>
      <c r="F475" s="662">
        <f t="shared" si="98"/>
        <v>0</v>
      </c>
      <c r="G475" s="609"/>
      <c r="H475" s="549"/>
      <c r="I475" s="549"/>
      <c r="J475" s="550"/>
      <c r="K475" s="1527">
        <f t="shared" si="94"/>
      </c>
      <c r="L475" s="686"/>
      <c r="N475" s="352"/>
      <c r="O475" s="352"/>
      <c r="P475" s="352"/>
      <c r="Q475" s="352"/>
      <c r="R475" s="352"/>
      <c r="S475" s="352"/>
      <c r="T475" s="352"/>
      <c r="U475" s="352"/>
      <c r="V475" s="352"/>
      <c r="W475" s="352"/>
      <c r="X475" s="352"/>
      <c r="Y475" s="352"/>
      <c r="Z475" s="352"/>
    </row>
    <row r="476" spans="1:12" ht="31.5">
      <c r="A476" s="9">
        <v>90</v>
      </c>
      <c r="B476" s="292"/>
      <c r="C476" s="380">
        <v>7370</v>
      </c>
      <c r="D476" s="381" t="s">
        <v>1195</v>
      </c>
      <c r="E476" s="694"/>
      <c r="F476" s="695">
        <f t="shared" si="98"/>
        <v>0</v>
      </c>
      <c r="G476" s="734"/>
      <c r="H476" s="735"/>
      <c r="I476" s="735"/>
      <c r="J476" s="699"/>
      <c r="K476" s="1527">
        <f t="shared" si="94"/>
      </c>
      <c r="L476" s="686"/>
    </row>
    <row r="477" spans="1:12" ht="18.75" customHeight="1">
      <c r="A477" s="9">
        <v>95</v>
      </c>
      <c r="B477" s="292"/>
      <c r="C477" s="673">
        <v>7391</v>
      </c>
      <c r="D477" s="680" t="s">
        <v>1196</v>
      </c>
      <c r="E477" s="675"/>
      <c r="F477" s="676">
        <f t="shared" si="98"/>
        <v>0</v>
      </c>
      <c r="G477" s="732"/>
      <c r="H477" s="552"/>
      <c r="I477" s="552"/>
      <c r="J477" s="553"/>
      <c r="K477" s="1527">
        <f t="shared" si="94"/>
      </c>
      <c r="L477" s="686"/>
    </row>
    <row r="478" spans="1:12" ht="18.75" customHeight="1">
      <c r="A478" s="9">
        <v>100</v>
      </c>
      <c r="B478" s="292"/>
      <c r="C478" s="295">
        <v>7392</v>
      </c>
      <c r="D478" s="466" t="s">
        <v>1197</v>
      </c>
      <c r="E478" s="645"/>
      <c r="F478" s="646">
        <f t="shared" si="98"/>
        <v>0</v>
      </c>
      <c r="G478" s="545"/>
      <c r="H478" s="546"/>
      <c r="I478" s="546"/>
      <c r="J478" s="547"/>
      <c r="K478" s="1527">
        <f t="shared" si="94"/>
      </c>
      <c r="L478" s="686"/>
    </row>
    <row r="479" spans="1:12" ht="18.75" customHeight="1">
      <c r="A479" s="9">
        <v>105</v>
      </c>
      <c r="B479" s="292"/>
      <c r="C479" s="319">
        <v>7393</v>
      </c>
      <c r="D479" s="330" t="s">
        <v>1198</v>
      </c>
      <c r="E479" s="661"/>
      <c r="F479" s="662">
        <f t="shared" si="98"/>
        <v>0</v>
      </c>
      <c r="G479" s="609"/>
      <c r="H479" s="555"/>
      <c r="I479" s="555"/>
      <c r="J479" s="556"/>
      <c r="K479" s="1527">
        <f t="shared" si="94"/>
      </c>
      <c r="L479" s="686"/>
    </row>
    <row r="480" spans="1:59" s="365" customFormat="1" ht="18.75" customHeight="1">
      <c r="A480" s="12">
        <v>110</v>
      </c>
      <c r="B480" s="537">
        <v>7900</v>
      </c>
      <c r="C480" s="2274" t="s">
        <v>1199</v>
      </c>
      <c r="D480" s="2275"/>
      <c r="E480" s="667">
        <f aca="true" t="shared" si="99" ref="E480:J480">+E481+E482</f>
        <v>0</v>
      </c>
      <c r="F480" s="666">
        <f t="shared" si="99"/>
        <v>0</v>
      </c>
      <c r="G480" s="736">
        <f t="shared" si="99"/>
        <v>0</v>
      </c>
      <c r="H480" s="737">
        <f t="shared" si="99"/>
        <v>0</v>
      </c>
      <c r="I480" s="737">
        <f t="shared" si="99"/>
        <v>0</v>
      </c>
      <c r="J480" s="700">
        <f t="shared" si="99"/>
        <v>0</v>
      </c>
      <c r="K480" s="1527">
        <f t="shared" si="94"/>
      </c>
      <c r="L480" s="686"/>
      <c r="M480" s="2017"/>
      <c r="N480" s="350"/>
      <c r="O480" s="350"/>
      <c r="P480" s="350"/>
      <c r="Q480" s="350"/>
      <c r="R480" s="350"/>
      <c r="S480" s="350"/>
      <c r="T480" s="350"/>
      <c r="U480" s="350"/>
      <c r="V480" s="350"/>
      <c r="W480" s="350"/>
      <c r="X480" s="350"/>
      <c r="Y480" s="350"/>
      <c r="Z480" s="350"/>
      <c r="AA480" s="366"/>
      <c r="AB480" s="367"/>
      <c r="AC480" s="367"/>
      <c r="AD480" s="368"/>
      <c r="AE480" s="367"/>
      <c r="AF480" s="367"/>
      <c r="AG480" s="368"/>
      <c r="AH480" s="369"/>
      <c r="AI480" s="369"/>
      <c r="AJ480" s="370"/>
      <c r="AK480" s="369"/>
      <c r="AL480" s="369"/>
      <c r="AM480" s="370"/>
      <c r="AN480" s="369"/>
      <c r="AO480" s="369"/>
      <c r="AP480" s="371"/>
      <c r="AQ480" s="369"/>
      <c r="AR480" s="369"/>
      <c r="AS480" s="370"/>
      <c r="AT480" s="369"/>
      <c r="AU480" s="369"/>
      <c r="AV480" s="370"/>
      <c r="AW480" s="369"/>
      <c r="AX480" s="370"/>
      <c r="AY480" s="371"/>
      <c r="AZ480" s="370"/>
      <c r="BA480" s="370"/>
      <c r="BB480" s="369"/>
      <c r="BC480" s="369"/>
      <c r="BD480" s="370"/>
      <c r="BE480" s="369"/>
      <c r="BG480" s="369"/>
    </row>
    <row r="481" spans="1:245" s="376" customFormat="1" ht="18.75" customHeight="1">
      <c r="A481" s="27">
        <v>115</v>
      </c>
      <c r="B481" s="292"/>
      <c r="C481" s="681">
        <v>7901</v>
      </c>
      <c r="D481" s="682" t="s">
        <v>1200</v>
      </c>
      <c r="E481" s="675"/>
      <c r="F481" s="676">
        <f>G481+H481+I481+J481</f>
        <v>0</v>
      </c>
      <c r="G481" s="732"/>
      <c r="H481" s="543"/>
      <c r="I481" s="543"/>
      <c r="J481" s="544"/>
      <c r="K481" s="1527">
        <f t="shared" si="94"/>
      </c>
      <c r="L481" s="686"/>
      <c r="M481" s="2017"/>
      <c r="N481" s="350"/>
      <c r="O481" s="350"/>
      <c r="P481" s="350"/>
      <c r="Q481" s="350"/>
      <c r="R481" s="350"/>
      <c r="S481" s="350"/>
      <c r="T481" s="350"/>
      <c r="U481" s="350"/>
      <c r="V481" s="350"/>
      <c r="W481" s="350"/>
      <c r="X481" s="350"/>
      <c r="Y481" s="350"/>
      <c r="Z481" s="350"/>
      <c r="AA481" s="372"/>
      <c r="AB481" s="372"/>
      <c r="AC481" s="373"/>
      <c r="AD481" s="372"/>
      <c r="AE481" s="372"/>
      <c r="AF481" s="373"/>
      <c r="AG481" s="372"/>
      <c r="AH481" s="372"/>
      <c r="AI481" s="373"/>
      <c r="AJ481" s="372"/>
      <c r="AK481" s="372"/>
      <c r="AL481" s="373"/>
      <c r="AM481" s="372"/>
      <c r="AN481" s="372"/>
      <c r="AO481" s="374"/>
      <c r="AP481" s="372"/>
      <c r="AQ481" s="372"/>
      <c r="AR481" s="373"/>
      <c r="AS481" s="372"/>
      <c r="AT481" s="372"/>
      <c r="AU481" s="373"/>
      <c r="AV481" s="372"/>
      <c r="AW481" s="373"/>
      <c r="AX481" s="374"/>
      <c r="AY481" s="373"/>
      <c r="AZ481" s="373"/>
      <c r="BA481" s="372"/>
      <c r="BB481" s="372"/>
      <c r="BC481" s="373"/>
      <c r="BD481" s="372"/>
      <c r="BE481" s="375"/>
      <c r="BF481" s="372"/>
      <c r="BG481" s="375"/>
      <c r="BH481" s="375"/>
      <c r="BI481" s="375"/>
      <c r="BJ481" s="375"/>
      <c r="BK481" s="375"/>
      <c r="BL481" s="375"/>
      <c r="BM481" s="375"/>
      <c r="BN481" s="375"/>
      <c r="BO481" s="375"/>
      <c r="BP481" s="375"/>
      <c r="BQ481" s="375"/>
      <c r="BR481" s="375"/>
      <c r="BS481" s="375"/>
      <c r="BT481" s="375"/>
      <c r="BU481" s="375"/>
      <c r="BV481" s="375"/>
      <c r="BW481" s="375"/>
      <c r="BX481" s="375"/>
      <c r="BY481" s="375"/>
      <c r="BZ481" s="375"/>
      <c r="CA481" s="375"/>
      <c r="CB481" s="375"/>
      <c r="CC481" s="375"/>
      <c r="CD481" s="375"/>
      <c r="CE481" s="375"/>
      <c r="CF481" s="375"/>
      <c r="CG481" s="375"/>
      <c r="CH481" s="375"/>
      <c r="CI481" s="375"/>
      <c r="CJ481" s="375"/>
      <c r="CK481" s="375"/>
      <c r="CL481" s="375"/>
      <c r="CM481" s="375"/>
      <c r="CN481" s="375"/>
      <c r="CO481" s="375"/>
      <c r="CP481" s="375"/>
      <c r="CQ481" s="375"/>
      <c r="CR481" s="375"/>
      <c r="CS481" s="375"/>
      <c r="CT481" s="375"/>
      <c r="CU481" s="375"/>
      <c r="CV481" s="375"/>
      <c r="CW481" s="375"/>
      <c r="CX481" s="375"/>
      <c r="CY481" s="375"/>
      <c r="CZ481" s="375"/>
      <c r="DA481" s="375"/>
      <c r="DB481" s="375"/>
      <c r="DC481" s="375"/>
      <c r="DD481" s="375"/>
      <c r="DE481" s="375"/>
      <c r="DF481" s="375"/>
      <c r="DG481" s="375"/>
      <c r="DH481" s="375"/>
      <c r="DI481" s="375"/>
      <c r="DJ481" s="375"/>
      <c r="DK481" s="375"/>
      <c r="DL481" s="375"/>
      <c r="DM481" s="375"/>
      <c r="DN481" s="375"/>
      <c r="DO481" s="375"/>
      <c r="DP481" s="375"/>
      <c r="DQ481" s="375"/>
      <c r="DR481" s="375"/>
      <c r="DS481" s="375"/>
      <c r="DT481" s="375"/>
      <c r="DU481" s="375"/>
      <c r="DV481" s="375"/>
      <c r="DW481" s="375"/>
      <c r="DX481" s="375"/>
      <c r="DY481" s="375"/>
      <c r="DZ481" s="375"/>
      <c r="EA481" s="375"/>
      <c r="EB481" s="375"/>
      <c r="EC481" s="375"/>
      <c r="ED481" s="375"/>
      <c r="EE481" s="375"/>
      <c r="EF481" s="375"/>
      <c r="EG481" s="375"/>
      <c r="EH481" s="375"/>
      <c r="EI481" s="375"/>
      <c r="EJ481" s="375"/>
      <c r="EK481" s="375"/>
      <c r="EL481" s="375"/>
      <c r="EM481" s="375"/>
      <c r="EN481" s="375"/>
      <c r="EO481" s="375"/>
      <c r="EP481" s="375"/>
      <c r="EQ481" s="375"/>
      <c r="ER481" s="375"/>
      <c r="ES481" s="375"/>
      <c r="ET481" s="375"/>
      <c r="EU481" s="375"/>
      <c r="EV481" s="375"/>
      <c r="EW481" s="375"/>
      <c r="EX481" s="375"/>
      <c r="EY481" s="375"/>
      <c r="EZ481" s="375"/>
      <c r="FA481" s="375"/>
      <c r="FB481" s="375"/>
      <c r="FC481" s="375"/>
      <c r="FD481" s="375"/>
      <c r="FE481" s="375"/>
      <c r="FF481" s="375"/>
      <c r="FG481" s="375"/>
      <c r="FH481" s="375"/>
      <c r="FI481" s="375"/>
      <c r="FJ481" s="375"/>
      <c r="FK481" s="375"/>
      <c r="FL481" s="375"/>
      <c r="FM481" s="375"/>
      <c r="FN481" s="375"/>
      <c r="FO481" s="375"/>
      <c r="FP481" s="375"/>
      <c r="FQ481" s="375"/>
      <c r="FR481" s="375"/>
      <c r="FS481" s="375"/>
      <c r="FT481" s="375"/>
      <c r="FU481" s="375"/>
      <c r="FV481" s="375"/>
      <c r="FW481" s="375"/>
      <c r="FX481" s="375"/>
      <c r="FY481" s="375"/>
      <c r="FZ481" s="375"/>
      <c r="GA481" s="375"/>
      <c r="GB481" s="375"/>
      <c r="GC481" s="375"/>
      <c r="GD481" s="375"/>
      <c r="GE481" s="375"/>
      <c r="GF481" s="375"/>
      <c r="GG481" s="375"/>
      <c r="GH481" s="375"/>
      <c r="GI481" s="375"/>
      <c r="GJ481" s="375"/>
      <c r="GK481" s="375"/>
      <c r="GL481" s="375"/>
      <c r="GM481" s="375"/>
      <c r="GN481" s="375"/>
      <c r="GO481" s="375"/>
      <c r="GP481" s="375"/>
      <c r="GQ481" s="375"/>
      <c r="GR481" s="375"/>
      <c r="GS481" s="375"/>
      <c r="GT481" s="375"/>
      <c r="GU481" s="375"/>
      <c r="GV481" s="375"/>
      <c r="GW481" s="375"/>
      <c r="GX481" s="375"/>
      <c r="GY481" s="375"/>
      <c r="GZ481" s="375"/>
      <c r="HA481" s="375"/>
      <c r="HB481" s="375"/>
      <c r="HC481" s="375"/>
      <c r="HD481" s="375"/>
      <c r="HE481" s="375"/>
      <c r="HF481" s="375"/>
      <c r="HG481" s="375"/>
      <c r="HH481" s="375"/>
      <c r="HI481" s="375"/>
      <c r="HJ481" s="375"/>
      <c r="HK481" s="375"/>
      <c r="HL481" s="375"/>
      <c r="HM481" s="375"/>
      <c r="HN481" s="375"/>
      <c r="HO481" s="375"/>
      <c r="HP481" s="375"/>
      <c r="HQ481" s="375"/>
      <c r="HR481" s="375"/>
      <c r="HS481" s="375"/>
      <c r="HT481" s="375"/>
      <c r="HU481" s="375"/>
      <c r="HV481" s="375"/>
      <c r="HW481" s="375"/>
      <c r="HX481" s="375"/>
      <c r="HY481" s="375"/>
      <c r="HZ481" s="375"/>
      <c r="IA481" s="375"/>
      <c r="IB481" s="375"/>
      <c r="IC481" s="375"/>
      <c r="ID481" s="375"/>
      <c r="IE481" s="375"/>
      <c r="IF481" s="375"/>
      <c r="IG481" s="375"/>
      <c r="IH481" s="375"/>
      <c r="II481" s="375"/>
      <c r="IJ481" s="375"/>
      <c r="IK481" s="375"/>
    </row>
    <row r="482" spans="1:245" s="376" customFormat="1" ht="18.75" customHeight="1">
      <c r="A482" s="27">
        <v>120</v>
      </c>
      <c r="B482" s="292"/>
      <c r="C482" s="683">
        <v>7902</v>
      </c>
      <c r="D482" s="684" t="s">
        <v>1201</v>
      </c>
      <c r="E482" s="661"/>
      <c r="F482" s="662">
        <f>G482+H482+I482+J482</f>
        <v>0</v>
      </c>
      <c r="G482" s="609"/>
      <c r="H482" s="555"/>
      <c r="I482" s="555"/>
      <c r="J482" s="556"/>
      <c r="K482" s="1527">
        <f t="shared" si="94"/>
      </c>
      <c r="L482" s="686"/>
      <c r="M482" s="2024"/>
      <c r="N482" s="367"/>
      <c r="O482" s="367"/>
      <c r="P482" s="367"/>
      <c r="Q482" s="367"/>
      <c r="R482" s="367"/>
      <c r="S482" s="367"/>
      <c r="T482" s="367"/>
      <c r="U482" s="367"/>
      <c r="V482" s="367"/>
      <c r="W482" s="367"/>
      <c r="X482" s="367"/>
      <c r="Y482" s="367"/>
      <c r="Z482" s="367"/>
      <c r="AA482" s="372"/>
      <c r="AB482" s="372"/>
      <c r="AC482" s="373"/>
      <c r="AD482" s="372"/>
      <c r="AE482" s="372"/>
      <c r="AF482" s="373"/>
      <c r="AG482" s="372"/>
      <c r="AH482" s="372"/>
      <c r="AI482" s="373"/>
      <c r="AJ482" s="372"/>
      <c r="AK482" s="372"/>
      <c r="AL482" s="373"/>
      <c r="AM482" s="372"/>
      <c r="AN482" s="372"/>
      <c r="AO482" s="374"/>
      <c r="AP482" s="372"/>
      <c r="AQ482" s="372"/>
      <c r="AR482" s="373"/>
      <c r="AS482" s="372"/>
      <c r="AT482" s="372"/>
      <c r="AU482" s="373"/>
      <c r="AV482" s="372"/>
      <c r="AW482" s="373"/>
      <c r="AX482" s="374"/>
      <c r="AY482" s="373"/>
      <c r="AZ482" s="373"/>
      <c r="BA482" s="372"/>
      <c r="BB482" s="372"/>
      <c r="BC482" s="373"/>
      <c r="BD482" s="372"/>
      <c r="BE482" s="375"/>
      <c r="BF482" s="372"/>
      <c r="BG482" s="375"/>
      <c r="BH482" s="375"/>
      <c r="BI482" s="375"/>
      <c r="BJ482" s="375"/>
      <c r="BK482" s="375"/>
      <c r="BL482" s="375"/>
      <c r="BM482" s="375"/>
      <c r="BN482" s="375"/>
      <c r="BO482" s="375"/>
      <c r="BP482" s="375"/>
      <c r="BQ482" s="375"/>
      <c r="BR482" s="375"/>
      <c r="BS482" s="375"/>
      <c r="BT482" s="375"/>
      <c r="BU482" s="375"/>
      <c r="BV482" s="375"/>
      <c r="BW482" s="375"/>
      <c r="BX482" s="375"/>
      <c r="BY482" s="375"/>
      <c r="BZ482" s="375"/>
      <c r="CA482" s="375"/>
      <c r="CB482" s="375"/>
      <c r="CC482" s="375"/>
      <c r="CD482" s="375"/>
      <c r="CE482" s="375"/>
      <c r="CF482" s="375"/>
      <c r="CG482" s="375"/>
      <c r="CH482" s="375"/>
      <c r="CI482" s="375"/>
      <c r="CJ482" s="375"/>
      <c r="CK482" s="375"/>
      <c r="CL482" s="375"/>
      <c r="CM482" s="375"/>
      <c r="CN482" s="375"/>
      <c r="CO482" s="375"/>
      <c r="CP482" s="375"/>
      <c r="CQ482" s="375"/>
      <c r="CR482" s="375"/>
      <c r="CS482" s="375"/>
      <c r="CT482" s="375"/>
      <c r="CU482" s="375"/>
      <c r="CV482" s="375"/>
      <c r="CW482" s="375"/>
      <c r="CX482" s="375"/>
      <c r="CY482" s="375"/>
      <c r="CZ482" s="375"/>
      <c r="DA482" s="375"/>
      <c r="DB482" s="375"/>
      <c r="DC482" s="375"/>
      <c r="DD482" s="375"/>
      <c r="DE482" s="375"/>
      <c r="DF482" s="375"/>
      <c r="DG482" s="375"/>
      <c r="DH482" s="375"/>
      <c r="DI482" s="375"/>
      <c r="DJ482" s="375"/>
      <c r="DK482" s="375"/>
      <c r="DL482" s="375"/>
      <c r="DM482" s="375"/>
      <c r="DN482" s="375"/>
      <c r="DO482" s="375"/>
      <c r="DP482" s="375"/>
      <c r="DQ482" s="375"/>
      <c r="DR482" s="375"/>
      <c r="DS482" s="375"/>
      <c r="DT482" s="375"/>
      <c r="DU482" s="375"/>
      <c r="DV482" s="375"/>
      <c r="DW482" s="375"/>
      <c r="DX482" s="375"/>
      <c r="DY482" s="375"/>
      <c r="DZ482" s="375"/>
      <c r="EA482" s="375"/>
      <c r="EB482" s="375"/>
      <c r="EC482" s="375"/>
      <c r="ED482" s="375"/>
      <c r="EE482" s="375"/>
      <c r="EF482" s="375"/>
      <c r="EG482" s="375"/>
      <c r="EH482" s="375"/>
      <c r="EI482" s="375"/>
      <c r="EJ482" s="375"/>
      <c r="EK482" s="375"/>
      <c r="EL482" s="375"/>
      <c r="EM482" s="375"/>
      <c r="EN482" s="375"/>
      <c r="EO482" s="375"/>
      <c r="EP482" s="375"/>
      <c r="EQ482" s="375"/>
      <c r="ER482" s="375"/>
      <c r="ES482" s="375"/>
      <c r="ET482" s="375"/>
      <c r="EU482" s="375"/>
      <c r="EV482" s="375"/>
      <c r="EW482" s="375"/>
      <c r="EX482" s="375"/>
      <c r="EY482" s="375"/>
      <c r="EZ482" s="375"/>
      <c r="FA482" s="375"/>
      <c r="FB482" s="375"/>
      <c r="FC482" s="375"/>
      <c r="FD482" s="375"/>
      <c r="FE482" s="375"/>
      <c r="FF482" s="375"/>
      <c r="FG482" s="375"/>
      <c r="FH482" s="375"/>
      <c r="FI482" s="375"/>
      <c r="FJ482" s="375"/>
      <c r="FK482" s="375"/>
      <c r="FL482" s="375"/>
      <c r="FM482" s="375"/>
      <c r="FN482" s="375"/>
      <c r="FO482" s="375"/>
      <c r="FP482" s="375"/>
      <c r="FQ482" s="375"/>
      <c r="FR482" s="375"/>
      <c r="FS482" s="375"/>
      <c r="FT482" s="375"/>
      <c r="FU482" s="375"/>
      <c r="FV482" s="375"/>
      <c r="FW482" s="375"/>
      <c r="FX482" s="375"/>
      <c r="FY482" s="375"/>
      <c r="FZ482" s="375"/>
      <c r="GA482" s="375"/>
      <c r="GB482" s="375"/>
      <c r="GC482" s="375"/>
      <c r="GD482" s="375"/>
      <c r="GE482" s="375"/>
      <c r="GF482" s="375"/>
      <c r="GG482" s="375"/>
      <c r="GH482" s="375"/>
      <c r="GI482" s="375"/>
      <c r="GJ482" s="375"/>
      <c r="GK482" s="375"/>
      <c r="GL482" s="375"/>
      <c r="GM482" s="375"/>
      <c r="GN482" s="375"/>
      <c r="GO482" s="375"/>
      <c r="GP482" s="375"/>
      <c r="GQ482" s="375"/>
      <c r="GR482" s="375"/>
      <c r="GS482" s="375"/>
      <c r="GT482" s="375"/>
      <c r="GU482" s="375"/>
      <c r="GV482" s="375"/>
      <c r="GW482" s="375"/>
      <c r="GX482" s="375"/>
      <c r="GY482" s="375"/>
      <c r="GZ482" s="375"/>
      <c r="HA482" s="375"/>
      <c r="HB482" s="375"/>
      <c r="HC482" s="375"/>
      <c r="HD482" s="375"/>
      <c r="HE482" s="375"/>
      <c r="HF482" s="375"/>
      <c r="HG482" s="375"/>
      <c r="HH482" s="375"/>
      <c r="HI482" s="375"/>
      <c r="HJ482" s="375"/>
      <c r="HK482" s="375"/>
      <c r="HL482" s="375"/>
      <c r="HM482" s="375"/>
      <c r="HN482" s="375"/>
      <c r="HO482" s="375"/>
      <c r="HP482" s="375"/>
      <c r="HQ482" s="375"/>
      <c r="HR482" s="375"/>
      <c r="HS482" s="375"/>
      <c r="HT482" s="375"/>
      <c r="HU482" s="375"/>
      <c r="HV482" s="375"/>
      <c r="HW482" s="375"/>
      <c r="HX482" s="375"/>
      <c r="HY482" s="375"/>
      <c r="HZ482" s="375"/>
      <c r="IA482" s="375"/>
      <c r="IB482" s="375"/>
      <c r="IC482" s="375"/>
      <c r="ID482" s="375"/>
      <c r="IE482" s="375"/>
      <c r="IF482" s="375"/>
      <c r="IG482" s="375"/>
      <c r="IH482" s="375"/>
      <c r="II482" s="375"/>
      <c r="IJ482" s="375"/>
      <c r="IK482" s="375"/>
    </row>
    <row r="483" spans="1:26" s="352" customFormat="1" ht="18.75" customHeight="1">
      <c r="A483" s="8">
        <v>125</v>
      </c>
      <c r="B483" s="537">
        <v>8000</v>
      </c>
      <c r="C483" s="2256" t="s">
        <v>1625</v>
      </c>
      <c r="D483" s="2256"/>
      <c r="E483" s="1739">
        <f aca="true" t="shared" si="100" ref="E483:J483">SUM(E484:E498)</f>
        <v>0</v>
      </c>
      <c r="F483" s="663">
        <f t="shared" si="100"/>
        <v>0</v>
      </c>
      <c r="G483" s="731">
        <f t="shared" si="100"/>
        <v>0</v>
      </c>
      <c r="H483" s="729">
        <f t="shared" si="100"/>
        <v>0</v>
      </c>
      <c r="I483" s="729">
        <f t="shared" si="100"/>
        <v>0</v>
      </c>
      <c r="J483" s="697">
        <f t="shared" si="100"/>
        <v>0</v>
      </c>
      <c r="K483" s="1527">
        <f t="shared" si="94"/>
      </c>
      <c r="L483" s="686"/>
      <c r="M483" s="2025"/>
      <c r="N483" s="374"/>
      <c r="O483" s="374"/>
      <c r="P483" s="374"/>
      <c r="Q483" s="374"/>
      <c r="R483" s="374"/>
      <c r="S483" s="374"/>
      <c r="T483" s="374"/>
      <c r="U483" s="374"/>
      <c r="V483" s="374"/>
      <c r="W483" s="374"/>
      <c r="X483" s="374"/>
      <c r="Y483" s="374"/>
      <c r="Z483" s="374"/>
    </row>
    <row r="484" spans="1:26" ht="18.75" customHeight="1">
      <c r="A484" s="9">
        <v>130</v>
      </c>
      <c r="B484" s="299"/>
      <c r="C484" s="673">
        <v>8011</v>
      </c>
      <c r="D484" s="685" t="s">
        <v>1202</v>
      </c>
      <c r="E484" s="675"/>
      <c r="F484" s="676">
        <f aca="true" t="shared" si="101" ref="F484:F498">G484+H484+I484+J484</f>
        <v>0</v>
      </c>
      <c r="G484" s="732"/>
      <c r="H484" s="733"/>
      <c r="I484" s="733"/>
      <c r="J484" s="698"/>
      <c r="K484" s="1527">
        <f t="shared" si="94"/>
      </c>
      <c r="L484" s="686"/>
      <c r="M484" s="2025"/>
      <c r="N484" s="374"/>
      <c r="O484" s="374"/>
      <c r="P484" s="374"/>
      <c r="Q484" s="374"/>
      <c r="R484" s="374"/>
      <c r="S484" s="374"/>
      <c r="T484" s="374"/>
      <c r="U484" s="374"/>
      <c r="V484" s="374"/>
      <c r="W484" s="374"/>
      <c r="X484" s="374"/>
      <c r="Y484" s="374"/>
      <c r="Z484" s="374"/>
    </row>
    <row r="485" spans="1:26" ht="18.75" customHeight="1">
      <c r="A485" s="9">
        <v>135</v>
      </c>
      <c r="B485" s="299"/>
      <c r="C485" s="295">
        <v>8012</v>
      </c>
      <c r="D485" s="296" t="s">
        <v>1203</v>
      </c>
      <c r="E485" s="645"/>
      <c r="F485" s="646">
        <f t="shared" si="101"/>
        <v>0</v>
      </c>
      <c r="G485" s="545"/>
      <c r="H485" s="546"/>
      <c r="I485" s="546"/>
      <c r="J485" s="547"/>
      <c r="K485" s="1527">
        <f t="shared" si="94"/>
      </c>
      <c r="L485" s="686"/>
      <c r="N485" s="352"/>
      <c r="O485" s="352"/>
      <c r="P485" s="352"/>
      <c r="Q485" s="352"/>
      <c r="R485" s="352"/>
      <c r="S485" s="352"/>
      <c r="T485" s="352"/>
      <c r="U485" s="352"/>
      <c r="V485" s="352"/>
      <c r="W485" s="352"/>
      <c r="X485" s="352"/>
      <c r="Y485" s="352"/>
      <c r="Z485" s="352"/>
    </row>
    <row r="486" spans="1:12" ht="18.75" customHeight="1">
      <c r="A486" s="9">
        <v>140</v>
      </c>
      <c r="B486" s="299"/>
      <c r="C486" s="295">
        <v>8017</v>
      </c>
      <c r="D486" s="296" t="s">
        <v>1204</v>
      </c>
      <c r="E486" s="645"/>
      <c r="F486" s="646">
        <f t="shared" si="101"/>
        <v>0</v>
      </c>
      <c r="G486" s="545"/>
      <c r="H486" s="546"/>
      <c r="I486" s="546"/>
      <c r="J486" s="547"/>
      <c r="K486" s="1527">
        <f t="shared" si="94"/>
      </c>
      <c r="L486" s="686"/>
    </row>
    <row r="487" spans="1:12" ht="18.75" customHeight="1">
      <c r="A487" s="9">
        <v>145</v>
      </c>
      <c r="B487" s="299"/>
      <c r="C487" s="319">
        <v>8018</v>
      </c>
      <c r="D487" s="330" t="s">
        <v>1205</v>
      </c>
      <c r="E487" s="661"/>
      <c r="F487" s="662">
        <f t="shared" si="101"/>
        <v>0</v>
      </c>
      <c r="G487" s="609"/>
      <c r="H487" s="549"/>
      <c r="I487" s="549"/>
      <c r="J487" s="550"/>
      <c r="K487" s="1527">
        <f t="shared" si="94"/>
      </c>
      <c r="L487" s="686"/>
    </row>
    <row r="488" spans="1:12" ht="18.75" customHeight="1">
      <c r="A488" s="9">
        <v>150</v>
      </c>
      <c r="B488" s="299"/>
      <c r="C488" s="468">
        <v>8031</v>
      </c>
      <c r="D488" s="469" t="s">
        <v>1206</v>
      </c>
      <c r="E488" s="649"/>
      <c r="F488" s="650">
        <f t="shared" si="101"/>
        <v>0</v>
      </c>
      <c r="G488" s="551"/>
      <c r="H488" s="552"/>
      <c r="I488" s="552"/>
      <c r="J488" s="553"/>
      <c r="K488" s="1527">
        <f t="shared" si="94"/>
      </c>
      <c r="L488" s="686"/>
    </row>
    <row r="489" spans="1:12" ht="18.75" customHeight="1">
      <c r="A489" s="9">
        <v>155</v>
      </c>
      <c r="B489" s="299"/>
      <c r="C489" s="295">
        <v>8032</v>
      </c>
      <c r="D489" s="296" t="s">
        <v>1207</v>
      </c>
      <c r="E489" s="645"/>
      <c r="F489" s="646">
        <f t="shared" si="101"/>
        <v>0</v>
      </c>
      <c r="G489" s="545"/>
      <c r="H489" s="546"/>
      <c r="I489" s="546"/>
      <c r="J489" s="547"/>
      <c r="K489" s="1527">
        <f t="shared" si="94"/>
      </c>
      <c r="L489" s="686"/>
    </row>
    <row r="490" spans="1:12" ht="18.75" customHeight="1">
      <c r="A490" s="9">
        <v>175</v>
      </c>
      <c r="B490" s="299"/>
      <c r="C490" s="295">
        <v>8037</v>
      </c>
      <c r="D490" s="296" t="s">
        <v>1208</v>
      </c>
      <c r="E490" s="645"/>
      <c r="F490" s="646">
        <f t="shared" si="101"/>
        <v>0</v>
      </c>
      <c r="G490" s="545"/>
      <c r="H490" s="546"/>
      <c r="I490" s="546"/>
      <c r="J490" s="547"/>
      <c r="K490" s="1527">
        <f t="shared" si="94"/>
      </c>
      <c r="L490" s="686"/>
    </row>
    <row r="491" spans="1:12" ht="18.75" customHeight="1">
      <c r="A491" s="9">
        <v>180</v>
      </c>
      <c r="B491" s="299"/>
      <c r="C491" s="470">
        <v>8038</v>
      </c>
      <c r="D491" s="515" t="s">
        <v>2028</v>
      </c>
      <c r="E491" s="647"/>
      <c r="F491" s="648">
        <f t="shared" si="101"/>
        <v>0</v>
      </c>
      <c r="G491" s="548"/>
      <c r="H491" s="549"/>
      <c r="I491" s="549"/>
      <c r="J491" s="550"/>
      <c r="K491" s="1527">
        <f t="shared" si="94"/>
      </c>
      <c r="L491" s="686"/>
    </row>
    <row r="492" spans="1:12" ht="18.75" customHeight="1">
      <c r="A492" s="9">
        <v>185</v>
      </c>
      <c r="B492" s="299"/>
      <c r="C492" s="468">
        <v>8051</v>
      </c>
      <c r="D492" s="529" t="s">
        <v>1633</v>
      </c>
      <c r="E492" s="649"/>
      <c r="F492" s="650">
        <f t="shared" si="101"/>
        <v>0</v>
      </c>
      <c r="G492" s="551"/>
      <c r="H492" s="552"/>
      <c r="I492" s="552"/>
      <c r="J492" s="553"/>
      <c r="K492" s="1527">
        <f t="shared" si="94"/>
      </c>
      <c r="L492" s="686"/>
    </row>
    <row r="493" spans="1:12" ht="18.75" customHeight="1">
      <c r="A493" s="9">
        <v>190</v>
      </c>
      <c r="B493" s="299"/>
      <c r="C493" s="295">
        <v>8052</v>
      </c>
      <c r="D493" s="339" t="s">
        <v>1634</v>
      </c>
      <c r="E493" s="645"/>
      <c r="F493" s="646">
        <f t="shared" si="101"/>
        <v>0</v>
      </c>
      <c r="G493" s="545"/>
      <c r="H493" s="546"/>
      <c r="I493" s="546"/>
      <c r="J493" s="547"/>
      <c r="K493" s="1527">
        <f t="shared" si="94"/>
      </c>
      <c r="L493" s="686"/>
    </row>
    <row r="494" spans="1:12" ht="18.75" customHeight="1">
      <c r="A494" s="9">
        <v>195</v>
      </c>
      <c r="B494" s="299"/>
      <c r="C494" s="295">
        <v>8057</v>
      </c>
      <c r="D494" s="339" t="s">
        <v>1635</v>
      </c>
      <c r="E494" s="645"/>
      <c r="F494" s="646">
        <f t="shared" si="101"/>
        <v>0</v>
      </c>
      <c r="G494" s="545"/>
      <c r="H494" s="546"/>
      <c r="I494" s="546"/>
      <c r="J494" s="547"/>
      <c r="K494" s="1527">
        <f t="shared" si="94"/>
      </c>
      <c r="L494" s="686"/>
    </row>
    <row r="495" spans="1:12" ht="18.75" customHeight="1">
      <c r="A495" s="9">
        <v>200</v>
      </c>
      <c r="B495" s="299"/>
      <c r="C495" s="470">
        <v>8058</v>
      </c>
      <c r="D495" s="526" t="s">
        <v>1636</v>
      </c>
      <c r="E495" s="647"/>
      <c r="F495" s="648">
        <f t="shared" si="101"/>
        <v>0</v>
      </c>
      <c r="G495" s="548"/>
      <c r="H495" s="549"/>
      <c r="I495" s="549"/>
      <c r="J495" s="550"/>
      <c r="K495" s="1527">
        <f t="shared" si="94"/>
      </c>
      <c r="L495" s="686"/>
    </row>
    <row r="496" spans="1:12" ht="18.75" customHeight="1">
      <c r="A496" s="9">
        <v>205</v>
      </c>
      <c r="B496" s="299"/>
      <c r="C496" s="380">
        <v>8080</v>
      </c>
      <c r="D496" s="514" t="s">
        <v>1229</v>
      </c>
      <c r="E496" s="745"/>
      <c r="F496" s="695">
        <f t="shared" si="101"/>
        <v>0</v>
      </c>
      <c r="G496" s="734"/>
      <c r="H496" s="735"/>
      <c r="I496" s="735"/>
      <c r="J496" s="699"/>
      <c r="K496" s="1527">
        <f t="shared" si="94"/>
      </c>
      <c r="L496" s="686"/>
    </row>
    <row r="497" spans="1:12" ht="18.75" customHeight="1">
      <c r="A497" s="9">
        <v>210</v>
      </c>
      <c r="B497" s="299"/>
      <c r="C497" s="673">
        <v>8097</v>
      </c>
      <c r="D497" s="680" t="s">
        <v>2029</v>
      </c>
      <c r="E497" s="675"/>
      <c r="F497" s="676">
        <f t="shared" si="101"/>
        <v>0</v>
      </c>
      <c r="G497" s="732"/>
      <c r="H497" s="733"/>
      <c r="I497" s="733"/>
      <c r="J497" s="698"/>
      <c r="K497" s="1527">
        <f t="shared" si="94"/>
      </c>
      <c r="L497" s="686"/>
    </row>
    <row r="498" spans="1:12" ht="18.75" customHeight="1">
      <c r="A498" s="9">
        <v>215</v>
      </c>
      <c r="B498" s="299"/>
      <c r="C498" s="298">
        <v>8098</v>
      </c>
      <c r="D498" s="340" t="s">
        <v>2030</v>
      </c>
      <c r="E498" s="651"/>
      <c r="F498" s="652">
        <f t="shared" si="101"/>
        <v>0</v>
      </c>
      <c r="G498" s="554"/>
      <c r="H498" s="555"/>
      <c r="I498" s="555"/>
      <c r="J498" s="556"/>
      <c r="K498" s="1527">
        <f t="shared" si="94"/>
      </c>
      <c r="L498" s="686"/>
    </row>
    <row r="499" spans="1:26" s="352" customFormat="1" ht="18.75" customHeight="1">
      <c r="A499" s="8">
        <v>220</v>
      </c>
      <c r="B499" s="537">
        <v>8100</v>
      </c>
      <c r="C499" s="2259" t="s">
        <v>1632</v>
      </c>
      <c r="D499" s="2260"/>
      <c r="E499" s="1739">
        <f aca="true" t="shared" si="102" ref="E499:J499">SUM(E500:E503)</f>
        <v>0</v>
      </c>
      <c r="F499" s="663">
        <f t="shared" si="102"/>
        <v>0</v>
      </c>
      <c r="G499" s="731">
        <f t="shared" si="102"/>
        <v>0</v>
      </c>
      <c r="H499" s="729">
        <f t="shared" si="102"/>
        <v>0</v>
      </c>
      <c r="I499" s="729">
        <f t="shared" si="102"/>
        <v>0</v>
      </c>
      <c r="J499" s="697">
        <f t="shared" si="102"/>
        <v>0</v>
      </c>
      <c r="K499" s="1527">
        <f t="shared" si="94"/>
      </c>
      <c r="L499" s="686"/>
      <c r="M499" s="2017"/>
      <c r="N499" s="350"/>
      <c r="O499" s="350"/>
      <c r="P499" s="350"/>
      <c r="Q499" s="350"/>
      <c r="R499" s="350"/>
      <c r="S499" s="350"/>
      <c r="T499" s="350"/>
      <c r="U499" s="350"/>
      <c r="V499" s="350"/>
      <c r="W499" s="350"/>
      <c r="X499" s="350"/>
      <c r="Y499" s="350"/>
      <c r="Z499" s="350"/>
    </row>
    <row r="500" spans="1:12" ht="18.75" customHeight="1">
      <c r="A500" s="9">
        <v>225</v>
      </c>
      <c r="B500" s="292"/>
      <c r="C500" s="293">
        <v>8111</v>
      </c>
      <c r="D500" s="334" t="s">
        <v>2031</v>
      </c>
      <c r="E500" s="643"/>
      <c r="F500" s="644">
        <f>G500+H500+I500+J500</f>
        <v>0</v>
      </c>
      <c r="G500" s="542"/>
      <c r="H500" s="543"/>
      <c r="I500" s="543"/>
      <c r="J500" s="544"/>
      <c r="K500" s="1527">
        <f t="shared" si="94"/>
      </c>
      <c r="L500" s="686"/>
    </row>
    <row r="501" spans="1:26" ht="18.75" customHeight="1">
      <c r="A501" s="9">
        <v>230</v>
      </c>
      <c r="B501" s="292"/>
      <c r="C501" s="470">
        <v>8112</v>
      </c>
      <c r="D501" s="471" t="s">
        <v>2032</v>
      </c>
      <c r="E501" s="647"/>
      <c r="F501" s="648">
        <f>G501+H501+I501+J501</f>
        <v>0</v>
      </c>
      <c r="G501" s="548"/>
      <c r="H501" s="549"/>
      <c r="I501" s="549"/>
      <c r="J501" s="550"/>
      <c r="K501" s="1527">
        <f t="shared" si="94"/>
      </c>
      <c r="L501" s="686"/>
      <c r="N501" s="352"/>
      <c r="O501" s="352"/>
      <c r="P501" s="352"/>
      <c r="Q501" s="352"/>
      <c r="R501" s="352"/>
      <c r="S501" s="352"/>
      <c r="T501" s="352"/>
      <c r="U501" s="352"/>
      <c r="V501" s="352"/>
      <c r="W501" s="352"/>
      <c r="X501" s="352"/>
      <c r="Y501" s="352"/>
      <c r="Z501" s="352"/>
    </row>
    <row r="502" spans="1:12" ht="31.5">
      <c r="A502" s="9">
        <v>235</v>
      </c>
      <c r="B502" s="301"/>
      <c r="C502" s="468">
        <v>8121</v>
      </c>
      <c r="D502" s="706" t="s">
        <v>2033</v>
      </c>
      <c r="E502" s="649"/>
      <c r="F502" s="650">
        <f>G502+H502+I502+J502</f>
        <v>0</v>
      </c>
      <c r="G502" s="551"/>
      <c r="H502" s="552"/>
      <c r="I502" s="552"/>
      <c r="J502" s="553"/>
      <c r="K502" s="1527">
        <f t="shared" si="94"/>
      </c>
      <c r="L502" s="686"/>
    </row>
    <row r="503" spans="1:12" ht="31.5">
      <c r="A503" s="9">
        <v>240</v>
      </c>
      <c r="B503" s="292"/>
      <c r="C503" s="298">
        <v>8122</v>
      </c>
      <c r="D503" s="340" t="s">
        <v>93</v>
      </c>
      <c r="E503" s="651"/>
      <c r="F503" s="652">
        <f>G503+H503+I503+J503</f>
        <v>0</v>
      </c>
      <c r="G503" s="554"/>
      <c r="H503" s="555"/>
      <c r="I503" s="555"/>
      <c r="J503" s="556"/>
      <c r="K503" s="1527">
        <f t="shared" si="94"/>
      </c>
      <c r="L503" s="686"/>
    </row>
    <row r="504" spans="1:26" s="352" customFormat="1" ht="18.75" customHeight="1">
      <c r="A504" s="8">
        <v>245</v>
      </c>
      <c r="B504" s="537">
        <v>8200</v>
      </c>
      <c r="C504" s="2259" t="s">
        <v>94</v>
      </c>
      <c r="D504" s="2260"/>
      <c r="E504" s="665"/>
      <c r="F504" s="667">
        <f>G504+H504+I504+J504</f>
        <v>0</v>
      </c>
      <c r="G504" s="738"/>
      <c r="H504" s="739"/>
      <c r="I504" s="739"/>
      <c r="J504" s="701"/>
      <c r="K504" s="1527">
        <f t="shared" si="94"/>
      </c>
      <c r="L504" s="686"/>
      <c r="M504" s="2017"/>
      <c r="N504" s="350"/>
      <c r="O504" s="350"/>
      <c r="P504" s="350"/>
      <c r="Q504" s="350"/>
      <c r="R504" s="350"/>
      <c r="S504" s="350"/>
      <c r="T504" s="350"/>
      <c r="U504" s="350"/>
      <c r="V504" s="350"/>
      <c r="W504" s="350"/>
      <c r="X504" s="350"/>
      <c r="Y504" s="350"/>
      <c r="Z504" s="350"/>
    </row>
    <row r="505" spans="1:26" s="352" customFormat="1" ht="18.75" customHeight="1">
      <c r="A505" s="8">
        <v>255</v>
      </c>
      <c r="B505" s="537">
        <v>8300</v>
      </c>
      <c r="C505" s="2264" t="s">
        <v>1641</v>
      </c>
      <c r="D505" s="2264"/>
      <c r="E505" s="1739">
        <f aca="true" t="shared" si="103" ref="E505:J505">SUM(E506:E513)</f>
        <v>0</v>
      </c>
      <c r="F505" s="663">
        <f t="shared" si="103"/>
        <v>0</v>
      </c>
      <c r="G505" s="731">
        <f t="shared" si="103"/>
        <v>0</v>
      </c>
      <c r="H505" s="729">
        <f t="shared" si="103"/>
        <v>0</v>
      </c>
      <c r="I505" s="729">
        <f t="shared" si="103"/>
        <v>0</v>
      </c>
      <c r="J505" s="697">
        <f t="shared" si="103"/>
        <v>0</v>
      </c>
      <c r="K505" s="1527">
        <f t="shared" si="94"/>
      </c>
      <c r="L505" s="686"/>
      <c r="M505" s="2017"/>
      <c r="N505" s="350"/>
      <c r="O505" s="350"/>
      <c r="P505" s="350"/>
      <c r="Q505" s="350"/>
      <c r="R505" s="350"/>
      <c r="S505" s="350"/>
      <c r="T505" s="350"/>
      <c r="U505" s="350"/>
      <c r="V505" s="350"/>
      <c r="W505" s="350"/>
      <c r="X505" s="350"/>
      <c r="Y505" s="350"/>
      <c r="Z505" s="350"/>
    </row>
    <row r="506" spans="1:26" ht="18.75" customHeight="1">
      <c r="A506" s="10">
        <v>260</v>
      </c>
      <c r="B506" s="301"/>
      <c r="C506" s="293">
        <v>8311</v>
      </c>
      <c r="D506" s="334" t="s">
        <v>95</v>
      </c>
      <c r="E506" s="643"/>
      <c r="F506" s="644">
        <f aca="true" t="shared" si="104" ref="F506:F513">G506+H506+I506+J506</f>
        <v>0</v>
      </c>
      <c r="G506" s="542"/>
      <c r="H506" s="543"/>
      <c r="I506" s="543"/>
      <c r="J506" s="544"/>
      <c r="K506" s="1527">
        <f t="shared" si="94"/>
      </c>
      <c r="L506" s="686"/>
      <c r="N506" s="352"/>
      <c r="O506" s="352"/>
      <c r="P506" s="352"/>
      <c r="Q506" s="352"/>
      <c r="R506" s="352"/>
      <c r="S506" s="352"/>
      <c r="T506" s="352"/>
      <c r="U506" s="352"/>
      <c r="V506" s="352"/>
      <c r="W506" s="352"/>
      <c r="X506" s="352"/>
      <c r="Y506" s="352"/>
      <c r="Z506" s="352"/>
    </row>
    <row r="507" spans="1:26" ht="18.75" customHeight="1">
      <c r="A507" s="10">
        <v>261</v>
      </c>
      <c r="B507" s="292"/>
      <c r="C507" s="319">
        <v>8312</v>
      </c>
      <c r="D507" s="705" t="s">
        <v>96</v>
      </c>
      <c r="E507" s="661"/>
      <c r="F507" s="662">
        <f t="shared" si="104"/>
        <v>0</v>
      </c>
      <c r="G507" s="609"/>
      <c r="H507" s="610"/>
      <c r="I507" s="610"/>
      <c r="J507" s="611"/>
      <c r="K507" s="1527">
        <f t="shared" si="94"/>
      </c>
      <c r="L507" s="686"/>
      <c r="N507" s="352"/>
      <c r="O507" s="352"/>
      <c r="P507" s="352"/>
      <c r="Q507" s="352"/>
      <c r="R507" s="352"/>
      <c r="S507" s="352"/>
      <c r="T507" s="352"/>
      <c r="U507" s="352"/>
      <c r="V507" s="352"/>
      <c r="W507" s="352"/>
      <c r="X507" s="352"/>
      <c r="Y507" s="352"/>
      <c r="Z507" s="352"/>
    </row>
    <row r="508" spans="1:12" ht="18.75" customHeight="1">
      <c r="A508" s="10">
        <v>262</v>
      </c>
      <c r="B508" s="292"/>
      <c r="C508" s="468">
        <v>8321</v>
      </c>
      <c r="D508" s="706" t="s">
        <v>97</v>
      </c>
      <c r="E508" s="649"/>
      <c r="F508" s="650">
        <f t="shared" si="104"/>
        <v>0</v>
      </c>
      <c r="G508" s="551"/>
      <c r="H508" s="552"/>
      <c r="I508" s="552"/>
      <c r="J508" s="553"/>
      <c r="K508" s="1527">
        <f t="shared" si="94"/>
      </c>
      <c r="L508" s="686"/>
    </row>
    <row r="509" spans="1:12" ht="18.75" customHeight="1">
      <c r="A509" s="10">
        <v>263</v>
      </c>
      <c r="B509" s="292"/>
      <c r="C509" s="470">
        <v>8322</v>
      </c>
      <c r="D509" s="471" t="s">
        <v>98</v>
      </c>
      <c r="E509" s="647"/>
      <c r="F509" s="648">
        <f t="shared" si="104"/>
        <v>0</v>
      </c>
      <c r="G509" s="548"/>
      <c r="H509" s="549"/>
      <c r="I509" s="549"/>
      <c r="J509" s="550"/>
      <c r="K509" s="1527">
        <f t="shared" si="94"/>
      </c>
      <c r="L509" s="686"/>
    </row>
    <row r="510" spans="1:12" ht="18.75" customHeight="1">
      <c r="A510" s="10">
        <v>264</v>
      </c>
      <c r="B510" s="301"/>
      <c r="C510" s="468">
        <v>8371</v>
      </c>
      <c r="D510" s="706" t="s">
        <v>99</v>
      </c>
      <c r="E510" s="649"/>
      <c r="F510" s="650">
        <f t="shared" si="104"/>
        <v>0</v>
      </c>
      <c r="G510" s="551"/>
      <c r="H510" s="552"/>
      <c r="I510" s="552"/>
      <c r="J510" s="553"/>
      <c r="K510" s="1527">
        <f t="shared" si="94"/>
      </c>
      <c r="L510" s="686"/>
    </row>
    <row r="511" spans="1:12" ht="18.75" customHeight="1">
      <c r="A511" s="10">
        <v>265</v>
      </c>
      <c r="B511" s="292"/>
      <c r="C511" s="470">
        <v>8372</v>
      </c>
      <c r="D511" s="471" t="s">
        <v>100</v>
      </c>
      <c r="E511" s="647"/>
      <c r="F511" s="648">
        <f t="shared" si="104"/>
        <v>0</v>
      </c>
      <c r="G511" s="548"/>
      <c r="H511" s="549"/>
      <c r="I511" s="549"/>
      <c r="J511" s="550"/>
      <c r="K511" s="1527">
        <f t="shared" si="94"/>
      </c>
      <c r="L511" s="686"/>
    </row>
    <row r="512" spans="1:12" ht="18.75" customHeight="1">
      <c r="A512" s="10">
        <v>266</v>
      </c>
      <c r="B512" s="292"/>
      <c r="C512" s="468">
        <v>8381</v>
      </c>
      <c r="D512" s="706" t="s">
        <v>101</v>
      </c>
      <c r="E512" s="649"/>
      <c r="F512" s="650">
        <f t="shared" si="104"/>
        <v>0</v>
      </c>
      <c r="G512" s="551"/>
      <c r="H512" s="552"/>
      <c r="I512" s="552"/>
      <c r="J512" s="553"/>
      <c r="K512" s="1527">
        <f t="shared" si="94"/>
      </c>
      <c r="L512" s="686"/>
    </row>
    <row r="513" spans="1:12" ht="18.75" customHeight="1">
      <c r="A513" s="10">
        <v>267</v>
      </c>
      <c r="B513" s="292"/>
      <c r="C513" s="298">
        <v>8382</v>
      </c>
      <c r="D513" s="340" t="s">
        <v>102</v>
      </c>
      <c r="E513" s="651"/>
      <c r="F513" s="652">
        <f t="shared" si="104"/>
        <v>0</v>
      </c>
      <c r="G513" s="554"/>
      <c r="H513" s="555"/>
      <c r="I513" s="555"/>
      <c r="J513" s="556"/>
      <c r="K513" s="1527">
        <f t="shared" si="94"/>
      </c>
      <c r="L513" s="686"/>
    </row>
    <row r="514" spans="1:26" s="352" customFormat="1" ht="18.75" customHeight="1">
      <c r="A514" s="8">
        <v>295</v>
      </c>
      <c r="B514" s="537">
        <v>8500</v>
      </c>
      <c r="C514" s="2256" t="s">
        <v>103</v>
      </c>
      <c r="D514" s="2256"/>
      <c r="E514" s="1739">
        <f aca="true" t="shared" si="105" ref="E514:J514">SUM(E515:E517)</f>
        <v>0</v>
      </c>
      <c r="F514" s="663">
        <f t="shared" si="105"/>
        <v>0</v>
      </c>
      <c r="G514" s="731">
        <f t="shared" si="105"/>
        <v>0</v>
      </c>
      <c r="H514" s="729">
        <f t="shared" si="105"/>
        <v>0</v>
      </c>
      <c r="I514" s="729">
        <f t="shared" si="105"/>
        <v>0</v>
      </c>
      <c r="J514" s="697">
        <f t="shared" si="105"/>
        <v>0</v>
      </c>
      <c r="K514" s="1527">
        <f t="shared" si="94"/>
      </c>
      <c r="L514" s="686"/>
      <c r="M514" s="2017"/>
      <c r="N514" s="350"/>
      <c r="O514" s="350"/>
      <c r="P514" s="350"/>
      <c r="Q514" s="350"/>
      <c r="R514" s="350"/>
      <c r="S514" s="350"/>
      <c r="T514" s="350"/>
      <c r="U514" s="350"/>
      <c r="V514" s="350"/>
      <c r="W514" s="350"/>
      <c r="X514" s="350"/>
      <c r="Y514" s="350"/>
      <c r="Z514" s="350"/>
    </row>
    <row r="515" spans="1:12" ht="18.75" customHeight="1">
      <c r="A515" s="9">
        <v>300</v>
      </c>
      <c r="B515" s="292"/>
      <c r="C515" s="293">
        <v>8501</v>
      </c>
      <c r="D515" s="294" t="s">
        <v>104</v>
      </c>
      <c r="E515" s="643"/>
      <c r="F515" s="644">
        <f>G515+H515+I515+J515</f>
        <v>0</v>
      </c>
      <c r="G515" s="542"/>
      <c r="H515" s="543"/>
      <c r="I515" s="543"/>
      <c r="J515" s="544"/>
      <c r="K515" s="1527">
        <f t="shared" si="94"/>
      </c>
      <c r="L515" s="686"/>
    </row>
    <row r="516" spans="1:26" ht="18.75" customHeight="1">
      <c r="A516" s="9">
        <v>305</v>
      </c>
      <c r="B516" s="292"/>
      <c r="C516" s="295">
        <v>8502</v>
      </c>
      <c r="D516" s="296" t="s">
        <v>105</v>
      </c>
      <c r="E516" s="645"/>
      <c r="F516" s="646">
        <f>G516+H516+I516+J516</f>
        <v>0</v>
      </c>
      <c r="G516" s="545"/>
      <c r="H516" s="546"/>
      <c r="I516" s="546"/>
      <c r="J516" s="547"/>
      <c r="K516" s="1527">
        <f t="shared" si="94"/>
      </c>
      <c r="L516" s="686"/>
      <c r="N516" s="352"/>
      <c r="O516" s="352"/>
      <c r="P516" s="352"/>
      <c r="Q516" s="352"/>
      <c r="R516" s="352"/>
      <c r="S516" s="352"/>
      <c r="T516" s="352"/>
      <c r="U516" s="352"/>
      <c r="V516" s="352"/>
      <c r="W516" s="352"/>
      <c r="X516" s="352"/>
      <c r="Y516" s="352"/>
      <c r="Z516" s="352"/>
    </row>
    <row r="517" spans="1:12" ht="18.75" customHeight="1">
      <c r="A517" s="9">
        <v>310</v>
      </c>
      <c r="B517" s="292"/>
      <c r="C517" s="298">
        <v>8504</v>
      </c>
      <c r="D517" s="340" t="s">
        <v>106</v>
      </c>
      <c r="E517" s="651"/>
      <c r="F517" s="652">
        <f>G517+H517+I517+J517</f>
        <v>0</v>
      </c>
      <c r="G517" s="554"/>
      <c r="H517" s="555"/>
      <c r="I517" s="555"/>
      <c r="J517" s="556"/>
      <c r="K517" s="1527">
        <f t="shared" si="94"/>
      </c>
      <c r="L517" s="686"/>
    </row>
    <row r="518" spans="1:26" s="352" customFormat="1" ht="18.75" customHeight="1">
      <c r="A518" s="8">
        <v>315</v>
      </c>
      <c r="B518" s="537">
        <v>8600</v>
      </c>
      <c r="C518" s="2256" t="s">
        <v>1693</v>
      </c>
      <c r="D518" s="2256"/>
      <c r="E518" s="1739">
        <f aca="true" t="shared" si="106" ref="E518:J518">SUM(E519:E522)</f>
        <v>0</v>
      </c>
      <c r="F518" s="663">
        <f t="shared" si="106"/>
        <v>0</v>
      </c>
      <c r="G518" s="731">
        <f t="shared" si="106"/>
        <v>0</v>
      </c>
      <c r="H518" s="729">
        <f t="shared" si="106"/>
        <v>0</v>
      </c>
      <c r="I518" s="729">
        <f t="shared" si="106"/>
        <v>0</v>
      </c>
      <c r="J518" s="697">
        <f t="shared" si="106"/>
        <v>0</v>
      </c>
      <c r="K518" s="1527">
        <f t="shared" si="94"/>
      </c>
      <c r="L518" s="686"/>
      <c r="M518" s="2017"/>
      <c r="N518" s="350"/>
      <c r="O518" s="350"/>
      <c r="P518" s="350"/>
      <c r="Q518" s="350"/>
      <c r="R518" s="350"/>
      <c r="S518" s="350"/>
      <c r="T518" s="350"/>
      <c r="U518" s="350"/>
      <c r="V518" s="350"/>
      <c r="W518" s="350"/>
      <c r="X518" s="350"/>
      <c r="Y518" s="350"/>
      <c r="Z518" s="350"/>
    </row>
    <row r="519" spans="1:12" ht="18.75" customHeight="1">
      <c r="A519" s="9">
        <v>320</v>
      </c>
      <c r="B519" s="292"/>
      <c r="C519" s="497">
        <v>8611</v>
      </c>
      <c r="D519" s="498" t="s">
        <v>1694</v>
      </c>
      <c r="E519" s="653"/>
      <c r="F519" s="654">
        <f>G519+H519+I519+J519</f>
        <v>0</v>
      </c>
      <c r="G519" s="557"/>
      <c r="H519" s="558"/>
      <c r="I519" s="558"/>
      <c r="J519" s="559"/>
      <c r="K519" s="1527">
        <f t="shared" si="94"/>
      </c>
      <c r="L519" s="686"/>
    </row>
    <row r="520" spans="1:26" ht="18.75" customHeight="1">
      <c r="A520" s="9">
        <v>325</v>
      </c>
      <c r="B520" s="292"/>
      <c r="C520" s="468">
        <v>8621</v>
      </c>
      <c r="D520" s="469" t="s">
        <v>1695</v>
      </c>
      <c r="E520" s="649"/>
      <c r="F520" s="650">
        <f>G520+H520+I520+J520</f>
        <v>0</v>
      </c>
      <c r="G520" s="551"/>
      <c r="H520" s="552"/>
      <c r="I520" s="552"/>
      <c r="J520" s="553"/>
      <c r="K520" s="1527">
        <f t="shared" si="94"/>
      </c>
      <c r="L520" s="686"/>
      <c r="N520" s="352"/>
      <c r="O520" s="352"/>
      <c r="P520" s="352"/>
      <c r="Q520" s="352"/>
      <c r="R520" s="352"/>
      <c r="S520" s="352"/>
      <c r="T520" s="352"/>
      <c r="U520" s="352"/>
      <c r="V520" s="352"/>
      <c r="W520" s="352"/>
      <c r="X520" s="352"/>
      <c r="Y520" s="352"/>
      <c r="Z520" s="352"/>
    </row>
    <row r="521" spans="1:12" ht="18.75" customHeight="1">
      <c r="A521" s="9">
        <v>330</v>
      </c>
      <c r="B521" s="292"/>
      <c r="C521" s="470">
        <v>8623</v>
      </c>
      <c r="D521" s="515" t="s">
        <v>1696</v>
      </c>
      <c r="E521" s="647"/>
      <c r="F521" s="648">
        <f>G521+H521+I521+J521</f>
        <v>0</v>
      </c>
      <c r="G521" s="548"/>
      <c r="H521" s="549"/>
      <c r="I521" s="549"/>
      <c r="J521" s="550"/>
      <c r="K521" s="1527">
        <f t="shared" si="94"/>
      </c>
      <c r="L521" s="686"/>
    </row>
    <row r="522" spans="1:12" ht="18.75" customHeight="1">
      <c r="A522" s="9">
        <v>340</v>
      </c>
      <c r="B522" s="292"/>
      <c r="C522" s="379">
        <v>8640</v>
      </c>
      <c r="D522" s="300" t="s">
        <v>1697</v>
      </c>
      <c r="E522" s="664"/>
      <c r="F522" s="493">
        <f>G522+H522+I522+J522</f>
        <v>0</v>
      </c>
      <c r="G522" s="560"/>
      <c r="H522" s="561"/>
      <c r="I522" s="561"/>
      <c r="J522" s="562"/>
      <c r="K522" s="1527">
        <f t="shared" si="94"/>
      </c>
      <c r="L522" s="686"/>
    </row>
    <row r="523" spans="1:26" s="352" customFormat="1" ht="18.75" customHeight="1">
      <c r="A523" s="8">
        <v>295</v>
      </c>
      <c r="B523" s="537">
        <v>8700</v>
      </c>
      <c r="C523" s="2256" t="s">
        <v>1631</v>
      </c>
      <c r="D523" s="2267"/>
      <c r="E523" s="1739">
        <f aca="true" t="shared" si="107" ref="E523:J523">SUM(E524:E525)</f>
        <v>0</v>
      </c>
      <c r="F523" s="663">
        <f t="shared" si="107"/>
        <v>0</v>
      </c>
      <c r="G523" s="731">
        <f t="shared" si="107"/>
        <v>0</v>
      </c>
      <c r="H523" s="729">
        <f t="shared" si="107"/>
        <v>0</v>
      </c>
      <c r="I523" s="729">
        <f t="shared" si="107"/>
        <v>0</v>
      </c>
      <c r="J523" s="697">
        <f t="shared" si="107"/>
        <v>0</v>
      </c>
      <c r="K523" s="1527">
        <f t="shared" si="94"/>
      </c>
      <c r="L523" s="686"/>
      <c r="M523" s="2017"/>
      <c r="N523" s="350"/>
      <c r="O523" s="350"/>
      <c r="P523" s="350"/>
      <c r="Q523" s="350"/>
      <c r="R523" s="350"/>
      <c r="S523" s="350"/>
      <c r="T523" s="350"/>
      <c r="U523" s="350"/>
      <c r="V523" s="350"/>
      <c r="W523" s="350"/>
      <c r="X523" s="350"/>
      <c r="Y523" s="350"/>
      <c r="Z523" s="350"/>
    </row>
    <row r="524" spans="1:12" ht="15.75">
      <c r="A524" s="9">
        <v>300</v>
      </c>
      <c r="B524" s="292"/>
      <c r="C524" s="293">
        <v>8733</v>
      </c>
      <c r="D524" s="294" t="s">
        <v>2034</v>
      </c>
      <c r="E524" s="643"/>
      <c r="F524" s="644">
        <f>G524+H524+I524+J524</f>
        <v>0</v>
      </c>
      <c r="G524" s="542"/>
      <c r="H524" s="543"/>
      <c r="I524" s="543"/>
      <c r="J524" s="544"/>
      <c r="K524" s="1527">
        <f t="shared" si="94"/>
      </c>
      <c r="L524" s="686"/>
    </row>
    <row r="525" spans="1:12" ht="15.75">
      <c r="A525" s="9">
        <v>310</v>
      </c>
      <c r="B525" s="292"/>
      <c r="C525" s="298">
        <v>8766</v>
      </c>
      <c r="D525" s="340" t="s">
        <v>2035</v>
      </c>
      <c r="E525" s="651"/>
      <c r="F525" s="652">
        <f>G525+H525+I525+J525</f>
        <v>0</v>
      </c>
      <c r="G525" s="554"/>
      <c r="H525" s="555"/>
      <c r="I525" s="555"/>
      <c r="J525" s="556"/>
      <c r="K525" s="1527">
        <f t="shared" si="94"/>
      </c>
      <c r="L525" s="686"/>
    </row>
    <row r="526" spans="1:26" s="352" customFormat="1" ht="18" customHeight="1">
      <c r="A526" s="8">
        <v>355</v>
      </c>
      <c r="B526" s="534">
        <v>8800</v>
      </c>
      <c r="C526" s="2259" t="s">
        <v>1630</v>
      </c>
      <c r="D526" s="2265"/>
      <c r="E526" s="1739">
        <f aca="true" t="shared" si="108" ref="E526:J526">SUM(E527:E532)</f>
        <v>0</v>
      </c>
      <c r="F526" s="663">
        <f t="shared" si="108"/>
        <v>0</v>
      </c>
      <c r="G526" s="731">
        <f t="shared" si="108"/>
        <v>0</v>
      </c>
      <c r="H526" s="729">
        <f t="shared" si="108"/>
        <v>0</v>
      </c>
      <c r="I526" s="729">
        <f t="shared" si="108"/>
        <v>0</v>
      </c>
      <c r="J526" s="697">
        <f t="shared" si="108"/>
        <v>0</v>
      </c>
      <c r="K526" s="1527">
        <f t="shared" si="94"/>
      </c>
      <c r="L526" s="686"/>
      <c r="M526" s="2017"/>
      <c r="N526" s="350"/>
      <c r="O526" s="350"/>
      <c r="P526" s="350"/>
      <c r="Q526" s="350"/>
      <c r="R526" s="350"/>
      <c r="S526" s="350"/>
      <c r="T526" s="350"/>
      <c r="U526" s="350"/>
      <c r="V526" s="350"/>
      <c r="W526" s="350"/>
      <c r="X526" s="350"/>
      <c r="Y526" s="350"/>
      <c r="Z526" s="350"/>
    </row>
    <row r="527" spans="1:12" ht="18" customHeight="1">
      <c r="A527" s="9">
        <v>360</v>
      </c>
      <c r="B527" s="292"/>
      <c r="C527" s="293">
        <v>8801</v>
      </c>
      <c r="D527" s="294" t="s">
        <v>2040</v>
      </c>
      <c r="E527" s="659"/>
      <c r="F527" s="644">
        <f aca="true" t="shared" si="109" ref="F527:F532">G527+H527+I527+J527</f>
        <v>0</v>
      </c>
      <c r="G527" s="542"/>
      <c r="H527" s="543"/>
      <c r="I527" s="543"/>
      <c r="J527" s="544"/>
      <c r="K527" s="1527">
        <f aca="true" t="shared" si="110" ref="K527:K590">(IF($E527&lt;&gt;0,$K$2,IF($F527&lt;&gt;0,$K$2,IF($G527&lt;&gt;0,$K$2,IF($H527&lt;&gt;0,$K$2,IF($I527&lt;&gt;0,$K$2,IF($J527&lt;&gt;0,$K$2,"")))))))</f>
      </c>
      <c r="L527" s="686"/>
    </row>
    <row r="528" spans="1:26" ht="18" customHeight="1">
      <c r="A528" s="9">
        <v>365</v>
      </c>
      <c r="B528" s="292"/>
      <c r="C528" s="295">
        <v>8802</v>
      </c>
      <c r="D528" s="296" t="s">
        <v>2041</v>
      </c>
      <c r="E528" s="657"/>
      <c r="F528" s="646">
        <f t="shared" si="109"/>
        <v>0</v>
      </c>
      <c r="G528" s="545"/>
      <c r="H528" s="546"/>
      <c r="I528" s="546"/>
      <c r="J528" s="547"/>
      <c r="K528" s="1527">
        <f t="shared" si="110"/>
      </c>
      <c r="L528" s="686"/>
      <c r="N528" s="352"/>
      <c r="O528" s="352"/>
      <c r="P528" s="352"/>
      <c r="Q528" s="352"/>
      <c r="R528" s="352"/>
      <c r="S528" s="352"/>
      <c r="T528" s="352"/>
      <c r="U528" s="352"/>
      <c r="V528" s="352"/>
      <c r="W528" s="352"/>
      <c r="X528" s="352"/>
      <c r="Y528" s="352"/>
      <c r="Z528" s="352"/>
    </row>
    <row r="529" spans="1:26" ht="32.25" customHeight="1">
      <c r="A529" s="9">
        <v>365</v>
      </c>
      <c r="B529" s="292"/>
      <c r="C529" s="295">
        <v>8803</v>
      </c>
      <c r="D529" s="296" t="s">
        <v>1637</v>
      </c>
      <c r="E529" s="657"/>
      <c r="F529" s="646">
        <f t="shared" si="109"/>
        <v>0</v>
      </c>
      <c r="G529" s="545"/>
      <c r="H529" s="546"/>
      <c r="I529" s="546"/>
      <c r="J529" s="547"/>
      <c r="K529" s="1527">
        <f t="shared" si="110"/>
      </c>
      <c r="L529" s="686"/>
      <c r="N529" s="352"/>
      <c r="O529" s="352"/>
      <c r="P529" s="352"/>
      <c r="Q529" s="352"/>
      <c r="R529" s="352"/>
      <c r="S529" s="352"/>
      <c r="T529" s="352"/>
      <c r="U529" s="352"/>
      <c r="V529" s="352"/>
      <c r="W529" s="352"/>
      <c r="X529" s="352"/>
      <c r="Y529" s="352"/>
      <c r="Z529" s="352"/>
    </row>
    <row r="530" spans="1:12" ht="18" customHeight="1">
      <c r="A530" s="9">
        <v>370</v>
      </c>
      <c r="B530" s="292"/>
      <c r="C530" s="295">
        <v>8804</v>
      </c>
      <c r="D530" s="296" t="s">
        <v>2037</v>
      </c>
      <c r="E530" s="657"/>
      <c r="F530" s="646">
        <f t="shared" si="109"/>
        <v>0</v>
      </c>
      <c r="G530" s="545"/>
      <c r="H530" s="546"/>
      <c r="I530" s="546"/>
      <c r="J530" s="547"/>
      <c r="K530" s="1527">
        <f t="shared" si="110"/>
      </c>
      <c r="L530" s="686"/>
    </row>
    <row r="531" spans="1:26" ht="18" customHeight="1">
      <c r="A531" s="9">
        <v>365</v>
      </c>
      <c r="B531" s="292"/>
      <c r="C531" s="295" t="s">
        <v>2036</v>
      </c>
      <c r="D531" s="707" t="s">
        <v>2038</v>
      </c>
      <c r="E531" s="657"/>
      <c r="F531" s="646">
        <f t="shared" si="109"/>
        <v>0</v>
      </c>
      <c r="G531" s="545"/>
      <c r="H531" s="546"/>
      <c r="I531" s="546"/>
      <c r="J531" s="547"/>
      <c r="K531" s="1527">
        <f t="shared" si="110"/>
      </c>
      <c r="L531" s="686"/>
      <c r="N531" s="352"/>
      <c r="O531" s="352"/>
      <c r="P531" s="352"/>
      <c r="Q531" s="352"/>
      <c r="R531" s="352"/>
      <c r="S531" s="352"/>
      <c r="T531" s="352"/>
      <c r="U531" s="352"/>
      <c r="V531" s="352"/>
      <c r="W531" s="352"/>
      <c r="X531" s="352"/>
      <c r="Y531" s="352"/>
      <c r="Z531" s="352"/>
    </row>
    <row r="532" spans="1:12" ht="18" customHeight="1">
      <c r="A532" s="9">
        <v>370</v>
      </c>
      <c r="B532" s="292"/>
      <c r="C532" s="298">
        <v>8809</v>
      </c>
      <c r="D532" s="326" t="s">
        <v>2039</v>
      </c>
      <c r="E532" s="658"/>
      <c r="F532" s="652">
        <f t="shared" si="109"/>
        <v>0</v>
      </c>
      <c r="G532" s="554"/>
      <c r="H532" s="555"/>
      <c r="I532" s="555"/>
      <c r="J532" s="556"/>
      <c r="K532" s="1527">
        <f t="shared" si="110"/>
      </c>
      <c r="L532" s="686"/>
    </row>
    <row r="533" spans="1:26" s="352" customFormat="1" ht="18" customHeight="1">
      <c r="A533" s="8">
        <v>375</v>
      </c>
      <c r="B533" s="537">
        <v>8900</v>
      </c>
      <c r="C533" s="2261" t="s">
        <v>1040</v>
      </c>
      <c r="D533" s="2262"/>
      <c r="E533" s="1739">
        <f aca="true" t="shared" si="111" ref="E533:J533">SUM(E534:E536)</f>
        <v>0</v>
      </c>
      <c r="F533" s="663">
        <f t="shared" si="111"/>
        <v>0</v>
      </c>
      <c r="G533" s="731">
        <f t="shared" si="111"/>
        <v>0</v>
      </c>
      <c r="H533" s="729">
        <f t="shared" si="111"/>
        <v>0</v>
      </c>
      <c r="I533" s="729">
        <f t="shared" si="111"/>
        <v>0</v>
      </c>
      <c r="J533" s="697">
        <f t="shared" si="111"/>
        <v>0</v>
      </c>
      <c r="K533" s="1527">
        <f t="shared" si="110"/>
      </c>
      <c r="L533" s="686"/>
      <c r="M533" s="2017"/>
      <c r="N533" s="350"/>
      <c r="O533" s="350"/>
      <c r="P533" s="350"/>
      <c r="Q533" s="350"/>
      <c r="R533" s="350"/>
      <c r="S533" s="350"/>
      <c r="T533" s="350"/>
      <c r="U533" s="350"/>
      <c r="V533" s="350"/>
      <c r="W533" s="350"/>
      <c r="X533" s="350"/>
      <c r="Y533" s="350"/>
      <c r="Z533" s="350"/>
    </row>
    <row r="534" spans="1:12" ht="18" customHeight="1">
      <c r="A534" s="9">
        <v>380</v>
      </c>
      <c r="B534" s="304"/>
      <c r="C534" s="293">
        <v>8901</v>
      </c>
      <c r="D534" s="294" t="s">
        <v>2042</v>
      </c>
      <c r="E534" s="659"/>
      <c r="F534" s="644">
        <f>G534+H534+I534+J534</f>
        <v>0</v>
      </c>
      <c r="G534" s="542"/>
      <c r="H534" s="543"/>
      <c r="I534" s="543"/>
      <c r="J534" s="544"/>
      <c r="K534" s="1527">
        <f t="shared" si="110"/>
      </c>
      <c r="L534" s="686"/>
    </row>
    <row r="535" spans="1:26" ht="30">
      <c r="A535" s="9">
        <v>385</v>
      </c>
      <c r="B535" s="304"/>
      <c r="C535" s="295">
        <v>8902</v>
      </c>
      <c r="D535" s="296" t="s">
        <v>2043</v>
      </c>
      <c r="E535" s="657"/>
      <c r="F535" s="646">
        <f>G535+H535+I535+J535</f>
        <v>0</v>
      </c>
      <c r="G535" s="545"/>
      <c r="H535" s="546"/>
      <c r="I535" s="546"/>
      <c r="J535" s="547"/>
      <c r="K535" s="1527">
        <f t="shared" si="110"/>
      </c>
      <c r="L535" s="686"/>
      <c r="N535" s="352"/>
      <c r="O535" s="352"/>
      <c r="P535" s="352"/>
      <c r="Q535" s="352"/>
      <c r="R535" s="352"/>
      <c r="S535" s="352"/>
      <c r="T535" s="352"/>
      <c r="U535" s="352"/>
      <c r="V535" s="352"/>
      <c r="W535" s="352"/>
      <c r="X535" s="352"/>
      <c r="Y535" s="352"/>
      <c r="Z535" s="352"/>
    </row>
    <row r="536" spans="1:12" ht="30">
      <c r="A536" s="9">
        <v>390</v>
      </c>
      <c r="B536" s="304"/>
      <c r="C536" s="298">
        <v>8903</v>
      </c>
      <c r="D536" s="326" t="s">
        <v>1350</v>
      </c>
      <c r="E536" s="658"/>
      <c r="F536" s="652">
        <f>G536+H536+I536+J536</f>
        <v>0</v>
      </c>
      <c r="G536" s="554"/>
      <c r="H536" s="555"/>
      <c r="I536" s="555"/>
      <c r="J536" s="556"/>
      <c r="K536" s="1527">
        <f t="shared" si="110"/>
      </c>
      <c r="L536" s="686"/>
    </row>
    <row r="537" spans="1:26" s="352" customFormat="1" ht="18.75" customHeight="1">
      <c r="A537" s="8">
        <v>395</v>
      </c>
      <c r="B537" s="537">
        <v>9000</v>
      </c>
      <c r="C537" s="2256" t="s">
        <v>1443</v>
      </c>
      <c r="D537" s="2256"/>
      <c r="E537" s="665"/>
      <c r="F537" s="667">
        <f>G537+H537+I537+J537</f>
        <v>0</v>
      </c>
      <c r="G537" s="738"/>
      <c r="H537" s="739"/>
      <c r="I537" s="739"/>
      <c r="J537" s="701"/>
      <c r="K537" s="1527">
        <f t="shared" si="110"/>
      </c>
      <c r="L537" s="686"/>
      <c r="M537" s="2017"/>
      <c r="N537" s="350"/>
      <c r="O537" s="350"/>
      <c r="P537" s="350"/>
      <c r="Q537" s="350"/>
      <c r="R537" s="350"/>
      <c r="S537" s="350"/>
      <c r="T537" s="350"/>
      <c r="U537" s="350"/>
      <c r="V537" s="350"/>
      <c r="W537" s="350"/>
      <c r="X537" s="350"/>
      <c r="Y537" s="350"/>
      <c r="Z537" s="350"/>
    </row>
    <row r="538" spans="1:26" s="352" customFormat="1" ht="18.75" customHeight="1">
      <c r="A538" s="8">
        <v>405</v>
      </c>
      <c r="B538" s="668">
        <v>9100</v>
      </c>
      <c r="C538" s="2266" t="s">
        <v>1626</v>
      </c>
      <c r="D538" s="2266"/>
      <c r="E538" s="1740">
        <f aca="true" t="shared" si="112" ref="E538:J538">SUM(E539:E542)</f>
        <v>0</v>
      </c>
      <c r="F538" s="669">
        <f t="shared" si="112"/>
        <v>0</v>
      </c>
      <c r="G538" s="740">
        <f t="shared" si="112"/>
        <v>0</v>
      </c>
      <c r="H538" s="741">
        <f t="shared" si="112"/>
        <v>0</v>
      </c>
      <c r="I538" s="741">
        <f t="shared" si="112"/>
        <v>0</v>
      </c>
      <c r="J538" s="702">
        <f t="shared" si="112"/>
        <v>0</v>
      </c>
      <c r="K538" s="1527">
        <f t="shared" si="110"/>
      </c>
      <c r="L538" s="686"/>
      <c r="M538" s="2017"/>
      <c r="N538" s="350"/>
      <c r="O538" s="350"/>
      <c r="P538" s="350"/>
      <c r="Q538" s="350"/>
      <c r="R538" s="350"/>
      <c r="S538" s="350"/>
      <c r="T538" s="350"/>
      <c r="U538" s="350"/>
      <c r="V538" s="350"/>
      <c r="W538" s="350"/>
      <c r="X538" s="350"/>
      <c r="Y538" s="350"/>
      <c r="Z538" s="350"/>
    </row>
    <row r="539" spans="1:26" ht="18.75" customHeight="1">
      <c r="A539" s="9">
        <v>410</v>
      </c>
      <c r="B539" s="292"/>
      <c r="C539" s="293">
        <v>9111</v>
      </c>
      <c r="D539" s="334" t="s">
        <v>1702</v>
      </c>
      <c r="E539" s="643"/>
      <c r="F539" s="644">
        <f>G539+H539+I539+J539</f>
        <v>0</v>
      </c>
      <c r="G539" s="542"/>
      <c r="H539" s="543"/>
      <c r="I539" s="543"/>
      <c r="J539" s="544"/>
      <c r="K539" s="1527">
        <f t="shared" si="110"/>
      </c>
      <c r="L539" s="686"/>
      <c r="N539" s="352"/>
      <c r="O539" s="352"/>
      <c r="P539" s="352"/>
      <c r="Q539" s="352"/>
      <c r="R539" s="352"/>
      <c r="S539" s="352"/>
      <c r="T539" s="352"/>
      <c r="U539" s="352"/>
      <c r="V539" s="352"/>
      <c r="W539" s="352"/>
      <c r="X539" s="352"/>
      <c r="Y539" s="352"/>
      <c r="Z539" s="352"/>
    </row>
    <row r="540" spans="1:26" ht="18.75" customHeight="1">
      <c r="A540" s="9">
        <v>415</v>
      </c>
      <c r="B540" s="292"/>
      <c r="C540" s="295">
        <v>9112</v>
      </c>
      <c r="D540" s="466" t="s">
        <v>1703</v>
      </c>
      <c r="E540" s="645"/>
      <c r="F540" s="646">
        <f>G540+H540+I540+J540</f>
        <v>0</v>
      </c>
      <c r="G540" s="545"/>
      <c r="H540" s="546"/>
      <c r="I540" s="546"/>
      <c r="J540" s="547"/>
      <c r="K540" s="1527">
        <f t="shared" si="110"/>
      </c>
      <c r="L540" s="686"/>
      <c r="N540" s="352"/>
      <c r="O540" s="352"/>
      <c r="P540" s="352"/>
      <c r="Q540" s="352"/>
      <c r="R540" s="352"/>
      <c r="S540" s="352"/>
      <c r="T540" s="352"/>
      <c r="U540" s="352"/>
      <c r="V540" s="352"/>
      <c r="W540" s="352"/>
      <c r="X540" s="352"/>
      <c r="Y540" s="352"/>
      <c r="Z540" s="352"/>
    </row>
    <row r="541" spans="1:12" ht="18.75" customHeight="1">
      <c r="A541" s="9">
        <v>420</v>
      </c>
      <c r="B541" s="292"/>
      <c r="C541" s="295">
        <v>9121</v>
      </c>
      <c r="D541" s="466" t="s">
        <v>1704</v>
      </c>
      <c r="E541" s="645"/>
      <c r="F541" s="646">
        <f>G541+H541+I541+J541</f>
        <v>0</v>
      </c>
      <c r="G541" s="545"/>
      <c r="H541" s="546"/>
      <c r="I541" s="546"/>
      <c r="J541" s="547"/>
      <c r="K541" s="1527">
        <f t="shared" si="110"/>
      </c>
      <c r="L541" s="686"/>
    </row>
    <row r="542" spans="1:12" ht="18.75" customHeight="1">
      <c r="A542" s="9">
        <v>425</v>
      </c>
      <c r="B542" s="292"/>
      <c r="C542" s="298">
        <v>9122</v>
      </c>
      <c r="D542" s="340" t="s">
        <v>1705</v>
      </c>
      <c r="E542" s="651"/>
      <c r="F542" s="652">
        <f>G542+H542+I542+J542</f>
        <v>0</v>
      </c>
      <c r="G542" s="554"/>
      <c r="H542" s="555"/>
      <c r="I542" s="555"/>
      <c r="J542" s="556"/>
      <c r="K542" s="1527">
        <f t="shared" si="110"/>
      </c>
      <c r="L542" s="686"/>
    </row>
    <row r="543" spans="1:26" s="352" customFormat="1" ht="18.75" customHeight="1">
      <c r="A543" s="8">
        <v>430</v>
      </c>
      <c r="B543" s="537">
        <v>9200</v>
      </c>
      <c r="C543" s="2263" t="s">
        <v>1627</v>
      </c>
      <c r="D543" s="2265"/>
      <c r="E543" s="1739">
        <f aca="true" t="shared" si="113" ref="E543:J543">+E544+E545</f>
        <v>0</v>
      </c>
      <c r="F543" s="663">
        <f t="shared" si="113"/>
        <v>0</v>
      </c>
      <c r="G543" s="731">
        <f t="shared" si="113"/>
        <v>0</v>
      </c>
      <c r="H543" s="729">
        <f t="shared" si="113"/>
        <v>0</v>
      </c>
      <c r="I543" s="729">
        <f t="shared" si="113"/>
        <v>0</v>
      </c>
      <c r="J543" s="697">
        <f t="shared" si="113"/>
        <v>0</v>
      </c>
      <c r="K543" s="1527">
        <f t="shared" si="110"/>
      </c>
      <c r="L543" s="686"/>
      <c r="M543" s="2017"/>
      <c r="N543" s="350"/>
      <c r="O543" s="350"/>
      <c r="P543" s="350"/>
      <c r="Q543" s="350"/>
      <c r="R543" s="350"/>
      <c r="S543" s="350"/>
      <c r="T543" s="350"/>
      <c r="U543" s="350"/>
      <c r="V543" s="350"/>
      <c r="W543" s="350"/>
      <c r="X543" s="350"/>
      <c r="Y543" s="350"/>
      <c r="Z543" s="350"/>
    </row>
    <row r="544" spans="1:12" ht="18.75" customHeight="1">
      <c r="A544" s="9">
        <v>435</v>
      </c>
      <c r="B544" s="292"/>
      <c r="C544" s="293">
        <v>9201</v>
      </c>
      <c r="D544" s="294" t="s">
        <v>1706</v>
      </c>
      <c r="E544" s="659"/>
      <c r="F544" s="652">
        <f>G544+H544+I544+J544</f>
        <v>0</v>
      </c>
      <c r="G544" s="542"/>
      <c r="H544" s="543"/>
      <c r="I544" s="543"/>
      <c r="J544" s="544"/>
      <c r="K544" s="1527">
        <f t="shared" si="110"/>
      </c>
      <c r="L544" s="686"/>
    </row>
    <row r="545" spans="1:26" ht="18.75" customHeight="1">
      <c r="A545" s="14">
        <v>440</v>
      </c>
      <c r="B545" s="292"/>
      <c r="C545" s="298">
        <v>9202</v>
      </c>
      <c r="D545" s="326" t="s">
        <v>1707</v>
      </c>
      <c r="E545" s="658"/>
      <c r="F545" s="652">
        <f>G545+H545+I545+J545</f>
        <v>0</v>
      </c>
      <c r="G545" s="554"/>
      <c r="H545" s="555"/>
      <c r="I545" s="555"/>
      <c r="J545" s="556"/>
      <c r="K545" s="1527">
        <f t="shared" si="110"/>
      </c>
      <c r="L545" s="686"/>
      <c r="N545" s="352"/>
      <c r="O545" s="352"/>
      <c r="P545" s="352"/>
      <c r="Q545" s="352"/>
      <c r="R545" s="352"/>
      <c r="S545" s="352"/>
      <c r="T545" s="352"/>
      <c r="U545" s="352"/>
      <c r="V545" s="352"/>
      <c r="W545" s="352"/>
      <c r="X545" s="352"/>
      <c r="Y545" s="352"/>
      <c r="Z545" s="352"/>
    </row>
    <row r="546" spans="1:26" s="352" customFormat="1" ht="18.75" customHeight="1">
      <c r="A546" s="17">
        <v>445</v>
      </c>
      <c r="B546" s="537">
        <v>9300</v>
      </c>
      <c r="C546" s="2256" t="s">
        <v>1628</v>
      </c>
      <c r="D546" s="2256"/>
      <c r="E546" s="1739">
        <f aca="true" t="shared" si="114" ref="E546:J546">SUM(E547:E567)</f>
        <v>0</v>
      </c>
      <c r="F546" s="663">
        <f t="shared" si="114"/>
        <v>0</v>
      </c>
      <c r="G546" s="731">
        <f t="shared" si="114"/>
        <v>0</v>
      </c>
      <c r="H546" s="729">
        <f t="shared" si="114"/>
        <v>0</v>
      </c>
      <c r="I546" s="729">
        <f t="shared" si="114"/>
        <v>0</v>
      </c>
      <c r="J546" s="697">
        <f t="shared" si="114"/>
        <v>0</v>
      </c>
      <c r="K546" s="1527">
        <f t="shared" si="110"/>
      </c>
      <c r="L546" s="686"/>
      <c r="M546" s="2017"/>
      <c r="N546" s="350"/>
      <c r="O546" s="350"/>
      <c r="P546" s="350"/>
      <c r="Q546" s="350"/>
      <c r="R546" s="350"/>
      <c r="S546" s="350"/>
      <c r="T546" s="350"/>
      <c r="U546" s="350"/>
      <c r="V546" s="350"/>
      <c r="W546" s="350"/>
      <c r="X546" s="350"/>
      <c r="Y546" s="350"/>
      <c r="Z546" s="350"/>
    </row>
    <row r="547" spans="1:12" ht="18.75" customHeight="1">
      <c r="A547" s="14">
        <v>450</v>
      </c>
      <c r="B547" s="292"/>
      <c r="C547" s="293">
        <v>9301</v>
      </c>
      <c r="D547" s="334" t="s">
        <v>2044</v>
      </c>
      <c r="E547" s="659"/>
      <c r="F547" s="644">
        <f aca="true" t="shared" si="115" ref="F547:F566">G547+H547+I547+J547</f>
        <v>0</v>
      </c>
      <c r="G547" s="542"/>
      <c r="H547" s="543"/>
      <c r="I547" s="543"/>
      <c r="J547" s="544"/>
      <c r="K547" s="1527">
        <f t="shared" si="110"/>
      </c>
      <c r="L547" s="686"/>
    </row>
    <row r="548" spans="1:12" ht="18.75" customHeight="1">
      <c r="A548" s="14">
        <v>450</v>
      </c>
      <c r="B548" s="292"/>
      <c r="C548" s="470">
        <v>9310</v>
      </c>
      <c r="D548" s="708" t="s">
        <v>1708</v>
      </c>
      <c r="E548" s="655"/>
      <c r="F548" s="648">
        <f t="shared" si="115"/>
        <v>0</v>
      </c>
      <c r="G548" s="548"/>
      <c r="H548" s="549"/>
      <c r="I548" s="549"/>
      <c r="J548" s="550"/>
      <c r="K548" s="1527">
        <f t="shared" si="110"/>
      </c>
      <c r="L548" s="686"/>
    </row>
    <row r="549" spans="1:26" s="358" customFormat="1" ht="18.75" customHeight="1">
      <c r="A549" s="27">
        <v>451</v>
      </c>
      <c r="B549" s="292"/>
      <c r="C549" s="709">
        <v>9317</v>
      </c>
      <c r="D549" s="710" t="s">
        <v>2045</v>
      </c>
      <c r="E549" s="711"/>
      <c r="F549" s="650">
        <f t="shared" si="115"/>
        <v>0</v>
      </c>
      <c r="G549" s="1482">
        <v>0</v>
      </c>
      <c r="H549" s="1483">
        <v>0</v>
      </c>
      <c r="I549" s="1483">
        <v>0</v>
      </c>
      <c r="J549" s="553"/>
      <c r="K549" s="1527">
        <f t="shared" si="110"/>
      </c>
      <c r="L549" s="686"/>
      <c r="M549" s="2017"/>
      <c r="N549" s="352"/>
      <c r="O549" s="352"/>
      <c r="P549" s="352"/>
      <c r="Q549" s="352"/>
      <c r="R549" s="352"/>
      <c r="S549" s="352"/>
      <c r="T549" s="352"/>
      <c r="U549" s="352"/>
      <c r="V549" s="352"/>
      <c r="W549" s="352"/>
      <c r="X549" s="352"/>
      <c r="Y549" s="352"/>
      <c r="Z549" s="352"/>
    </row>
    <row r="550" spans="1:26" s="358" customFormat="1" ht="18.75" customHeight="1">
      <c r="A550" s="27">
        <v>452</v>
      </c>
      <c r="B550" s="292"/>
      <c r="C550" s="712">
        <v>9318</v>
      </c>
      <c r="D550" s="713" t="s">
        <v>2046</v>
      </c>
      <c r="E550" s="655"/>
      <c r="F550" s="648">
        <f t="shared" si="115"/>
        <v>0</v>
      </c>
      <c r="G550" s="548"/>
      <c r="H550" s="549"/>
      <c r="I550" s="549"/>
      <c r="J550" s="550"/>
      <c r="K550" s="1527">
        <f t="shared" si="110"/>
      </c>
      <c r="L550" s="686"/>
      <c r="M550" s="2017"/>
      <c r="N550" s="350"/>
      <c r="O550" s="350"/>
      <c r="P550" s="350"/>
      <c r="Q550" s="350"/>
      <c r="R550" s="350"/>
      <c r="S550" s="350"/>
      <c r="T550" s="350"/>
      <c r="U550" s="350"/>
      <c r="V550" s="350"/>
      <c r="W550" s="350"/>
      <c r="X550" s="350"/>
      <c r="Y550" s="350"/>
      <c r="Z550" s="350"/>
    </row>
    <row r="551" spans="1:26" ht="31.5">
      <c r="A551" s="24">
        <v>456</v>
      </c>
      <c r="B551" s="292"/>
      <c r="C551" s="468">
        <v>9321</v>
      </c>
      <c r="D551" s="714" t="s">
        <v>1709</v>
      </c>
      <c r="E551" s="711"/>
      <c r="F551" s="650">
        <f t="shared" si="115"/>
        <v>0</v>
      </c>
      <c r="G551" s="551"/>
      <c r="H551" s="552"/>
      <c r="I551" s="552"/>
      <c r="J551" s="553"/>
      <c r="K551" s="1527">
        <f t="shared" si="110"/>
      </c>
      <c r="L551" s="686"/>
      <c r="M551" s="2023"/>
      <c r="N551" s="358"/>
      <c r="O551" s="358"/>
      <c r="P551" s="358"/>
      <c r="Q551" s="358"/>
      <c r="R551" s="358"/>
      <c r="S551" s="358"/>
      <c r="T551" s="358"/>
      <c r="U551" s="358"/>
      <c r="V551" s="358"/>
      <c r="W551" s="358"/>
      <c r="X551" s="358"/>
      <c r="Y551" s="358"/>
      <c r="Z551" s="358"/>
    </row>
    <row r="552" spans="1:26" ht="31.5">
      <c r="A552" s="24">
        <v>457</v>
      </c>
      <c r="B552" s="292"/>
      <c r="C552" s="295">
        <v>9322</v>
      </c>
      <c r="D552" s="472" t="s">
        <v>2051</v>
      </c>
      <c r="E552" s="657"/>
      <c r="F552" s="646">
        <f t="shared" si="115"/>
        <v>0</v>
      </c>
      <c r="G552" s="545"/>
      <c r="H552" s="546"/>
      <c r="I552" s="546"/>
      <c r="J552" s="547"/>
      <c r="K552" s="1527">
        <f t="shared" si="110"/>
      </c>
      <c r="L552" s="686"/>
      <c r="M552" s="2023"/>
      <c r="N552" s="358"/>
      <c r="O552" s="358"/>
      <c r="P552" s="358"/>
      <c r="Q552" s="358"/>
      <c r="R552" s="358"/>
      <c r="S552" s="358"/>
      <c r="T552" s="358"/>
      <c r="U552" s="358"/>
      <c r="V552" s="358"/>
      <c r="W552" s="358"/>
      <c r="X552" s="358"/>
      <c r="Y552" s="358"/>
      <c r="Z552" s="358"/>
    </row>
    <row r="553" spans="1:12" ht="31.5">
      <c r="A553" s="24">
        <v>458</v>
      </c>
      <c r="B553" s="292"/>
      <c r="C553" s="295">
        <v>9323</v>
      </c>
      <c r="D553" s="472" t="s">
        <v>2052</v>
      </c>
      <c r="E553" s="657"/>
      <c r="F553" s="646">
        <f t="shared" si="115"/>
        <v>0</v>
      </c>
      <c r="G553" s="545"/>
      <c r="H553" s="546"/>
      <c r="I553" s="546"/>
      <c r="J553" s="547"/>
      <c r="K553" s="1527">
        <f t="shared" si="110"/>
      </c>
      <c r="L553" s="686"/>
    </row>
    <row r="554" spans="1:12" ht="31.5">
      <c r="A554" s="24">
        <v>459</v>
      </c>
      <c r="B554" s="292"/>
      <c r="C554" s="295">
        <v>9324</v>
      </c>
      <c r="D554" s="472" t="s">
        <v>2053</v>
      </c>
      <c r="E554" s="657"/>
      <c r="F554" s="646">
        <f t="shared" si="115"/>
        <v>0</v>
      </c>
      <c r="G554" s="545"/>
      <c r="H554" s="546"/>
      <c r="I554" s="546"/>
      <c r="J554" s="547"/>
      <c r="K554" s="1527">
        <f t="shared" si="110"/>
      </c>
      <c r="L554" s="686"/>
    </row>
    <row r="555" spans="1:12" ht="18.75" customHeight="1">
      <c r="A555" s="24">
        <v>460</v>
      </c>
      <c r="B555" s="292"/>
      <c r="C555" s="295">
        <v>9325</v>
      </c>
      <c r="D555" s="472" t="s">
        <v>2054</v>
      </c>
      <c r="E555" s="657"/>
      <c r="F555" s="646">
        <f t="shared" si="115"/>
        <v>0</v>
      </c>
      <c r="G555" s="545"/>
      <c r="H555" s="546"/>
      <c r="I555" s="546"/>
      <c r="J555" s="547"/>
      <c r="K555" s="1527">
        <f t="shared" si="110"/>
      </c>
      <c r="L555" s="686"/>
    </row>
    <row r="556" spans="1:12" ht="18.75" customHeight="1">
      <c r="A556" s="24">
        <v>461</v>
      </c>
      <c r="B556" s="292"/>
      <c r="C556" s="295">
        <v>9326</v>
      </c>
      <c r="D556" s="472" t="s">
        <v>2055</v>
      </c>
      <c r="E556" s="657"/>
      <c r="F556" s="646">
        <f t="shared" si="115"/>
        <v>0</v>
      </c>
      <c r="G556" s="545"/>
      <c r="H556" s="546"/>
      <c r="I556" s="546"/>
      <c r="J556" s="547"/>
      <c r="K556" s="1527">
        <f t="shared" si="110"/>
      </c>
      <c r="L556" s="686"/>
    </row>
    <row r="557" spans="1:12" ht="30.75" customHeight="1">
      <c r="A557" s="14"/>
      <c r="B557" s="292"/>
      <c r="C557" s="295">
        <v>9327</v>
      </c>
      <c r="D557" s="472" t="s">
        <v>2056</v>
      </c>
      <c r="E557" s="657"/>
      <c r="F557" s="646">
        <f t="shared" si="115"/>
        <v>0</v>
      </c>
      <c r="G557" s="545"/>
      <c r="H557" s="546"/>
      <c r="I557" s="546"/>
      <c r="J557" s="547"/>
      <c r="K557" s="1527">
        <f t="shared" si="110"/>
      </c>
      <c r="L557" s="686"/>
    </row>
    <row r="558" spans="1:12" ht="18.75" customHeight="1">
      <c r="A558" s="14"/>
      <c r="B558" s="292"/>
      <c r="C558" s="470">
        <v>9328</v>
      </c>
      <c r="D558" s="715" t="s">
        <v>2057</v>
      </c>
      <c r="E558" s="655"/>
      <c r="F558" s="648">
        <f t="shared" si="115"/>
        <v>0</v>
      </c>
      <c r="G558" s="548"/>
      <c r="H558" s="549"/>
      <c r="I558" s="549"/>
      <c r="J558" s="550"/>
      <c r="K558" s="1527">
        <f t="shared" si="110"/>
      </c>
      <c r="L558" s="686"/>
    </row>
    <row r="559" spans="1:12" ht="30">
      <c r="A559" s="24">
        <v>462</v>
      </c>
      <c r="B559" s="292"/>
      <c r="C559" s="379">
        <v>9330</v>
      </c>
      <c r="D559" s="300" t="s">
        <v>2058</v>
      </c>
      <c r="E559" s="716"/>
      <c r="F559" s="717">
        <f t="shared" si="115"/>
        <v>0</v>
      </c>
      <c r="G559" s="742"/>
      <c r="H559" s="743"/>
      <c r="I559" s="743"/>
      <c r="J559" s="718"/>
      <c r="K559" s="1527">
        <f t="shared" si="110"/>
      </c>
      <c r="L559" s="686"/>
    </row>
    <row r="560" spans="1:12" ht="31.5">
      <c r="A560" s="14"/>
      <c r="B560" s="292"/>
      <c r="C560" s="468">
        <v>9336</v>
      </c>
      <c r="D560" s="714" t="s">
        <v>1646</v>
      </c>
      <c r="E560" s="711"/>
      <c r="F560" s="650">
        <f t="shared" si="115"/>
        <v>0</v>
      </c>
      <c r="G560" s="551"/>
      <c r="H560" s="552"/>
      <c r="I560" s="552"/>
      <c r="J560" s="553"/>
      <c r="K560" s="1527">
        <f t="shared" si="110"/>
      </c>
      <c r="L560" s="686"/>
    </row>
    <row r="561" spans="1:12" ht="31.5">
      <c r="A561" s="24">
        <v>462</v>
      </c>
      <c r="B561" s="292"/>
      <c r="C561" s="295">
        <v>9337</v>
      </c>
      <c r="D561" s="296" t="s">
        <v>1647</v>
      </c>
      <c r="E561" s="657"/>
      <c r="F561" s="646">
        <f t="shared" si="115"/>
        <v>0</v>
      </c>
      <c r="G561" s="545"/>
      <c r="H561" s="546"/>
      <c r="I561" s="546"/>
      <c r="J561" s="547"/>
      <c r="K561" s="1527">
        <f t="shared" si="110"/>
      </c>
      <c r="L561" s="686"/>
    </row>
    <row r="562" spans="1:12" ht="18.75" customHeight="1">
      <c r="A562" s="14"/>
      <c r="B562" s="292"/>
      <c r="C562" s="295">
        <v>9338</v>
      </c>
      <c r="D562" s="472" t="s">
        <v>1648</v>
      </c>
      <c r="E562" s="657"/>
      <c r="F562" s="646">
        <f t="shared" si="115"/>
        <v>0</v>
      </c>
      <c r="G562" s="545"/>
      <c r="H562" s="546"/>
      <c r="I562" s="546"/>
      <c r="J562" s="547"/>
      <c r="K562" s="1527">
        <f t="shared" si="110"/>
      </c>
      <c r="L562" s="686"/>
    </row>
    <row r="563" spans="1:12" ht="18.75" customHeight="1">
      <c r="A563" s="24">
        <v>462</v>
      </c>
      <c r="B563" s="292"/>
      <c r="C563" s="470">
        <v>9339</v>
      </c>
      <c r="D563" s="515" t="s">
        <v>1649</v>
      </c>
      <c r="E563" s="655"/>
      <c r="F563" s="648">
        <f t="shared" si="115"/>
        <v>0</v>
      </c>
      <c r="G563" s="548"/>
      <c r="H563" s="549"/>
      <c r="I563" s="549"/>
      <c r="J563" s="550"/>
      <c r="K563" s="1527">
        <f t="shared" si="110"/>
      </c>
      <c r="L563" s="686"/>
    </row>
    <row r="564" spans="1:12" ht="18.75" customHeight="1">
      <c r="A564" s="14"/>
      <c r="B564" s="292"/>
      <c r="C564" s="468">
        <v>9355</v>
      </c>
      <c r="D564" s="719" t="s">
        <v>1650</v>
      </c>
      <c r="E564" s="711"/>
      <c r="F564" s="650">
        <f t="shared" si="115"/>
        <v>0</v>
      </c>
      <c r="G564" s="551"/>
      <c r="H564" s="552"/>
      <c r="I564" s="552"/>
      <c r="J564" s="553"/>
      <c r="K564" s="1527">
        <f t="shared" si="110"/>
      </c>
      <c r="L564" s="686"/>
    </row>
    <row r="565" spans="1:12" ht="18.75" customHeight="1">
      <c r="A565" s="24">
        <v>462</v>
      </c>
      <c r="B565" s="292"/>
      <c r="C565" s="470">
        <v>9356</v>
      </c>
      <c r="D565" s="720" t="s">
        <v>1651</v>
      </c>
      <c r="E565" s="655"/>
      <c r="F565" s="648">
        <f t="shared" si="115"/>
        <v>0</v>
      </c>
      <c r="G565" s="548"/>
      <c r="H565" s="549"/>
      <c r="I565" s="549"/>
      <c r="J565" s="550"/>
      <c r="K565" s="1527">
        <f t="shared" si="110"/>
      </c>
      <c r="L565" s="686"/>
    </row>
    <row r="566" spans="1:12" ht="18.75" customHeight="1">
      <c r="A566" s="24">
        <v>462</v>
      </c>
      <c r="B566" s="292"/>
      <c r="C566" s="468">
        <v>9395</v>
      </c>
      <c r="D566" s="529" t="s">
        <v>1653</v>
      </c>
      <c r="E566" s="711"/>
      <c r="F566" s="650">
        <f t="shared" si="115"/>
        <v>0</v>
      </c>
      <c r="G566" s="551"/>
      <c r="H566" s="552"/>
      <c r="I566" s="552"/>
      <c r="J566" s="553"/>
      <c r="K566" s="1527">
        <f t="shared" si="110"/>
      </c>
      <c r="L566" s="686"/>
    </row>
    <row r="567" spans="1:12" ht="18.75" customHeight="1">
      <c r="A567" s="14">
        <v>465</v>
      </c>
      <c r="B567" s="292"/>
      <c r="C567" s="298">
        <v>9396</v>
      </c>
      <c r="D567" s="473" t="s">
        <v>1652</v>
      </c>
      <c r="E567" s="658"/>
      <c r="F567" s="652">
        <f>G567+H567+I567+J567</f>
        <v>0</v>
      </c>
      <c r="G567" s="554"/>
      <c r="H567" s="555"/>
      <c r="I567" s="555"/>
      <c r="J567" s="556"/>
      <c r="K567" s="1527">
        <f t="shared" si="110"/>
      </c>
      <c r="L567" s="686"/>
    </row>
    <row r="568" spans="1:26" s="352" customFormat="1" ht="18" customHeight="1">
      <c r="A568" s="17">
        <v>470</v>
      </c>
      <c r="B568" s="537">
        <v>9500</v>
      </c>
      <c r="C568" s="2263" t="s">
        <v>1638</v>
      </c>
      <c r="D568" s="2263"/>
      <c r="E568" s="1739">
        <f aca="true" t="shared" si="116" ref="E568:J568">SUM(E569:E587)</f>
        <v>-37430800</v>
      </c>
      <c r="F568" s="663">
        <f t="shared" si="116"/>
        <v>-17495</v>
      </c>
      <c r="G568" s="731">
        <f t="shared" si="116"/>
        <v>0</v>
      </c>
      <c r="H568" s="729">
        <f t="shared" si="116"/>
        <v>0</v>
      </c>
      <c r="I568" s="729">
        <f t="shared" si="116"/>
        <v>-17495</v>
      </c>
      <c r="J568" s="697">
        <f t="shared" si="116"/>
        <v>0</v>
      </c>
      <c r="K568" s="1527">
        <f t="shared" si="110"/>
        <v>1</v>
      </c>
      <c r="L568" s="686"/>
      <c r="M568" s="2017"/>
      <c r="N568" s="350"/>
      <c r="O568" s="350"/>
      <c r="P568" s="350"/>
      <c r="Q568" s="350"/>
      <c r="R568" s="350"/>
      <c r="S568" s="350"/>
      <c r="T568" s="350"/>
      <c r="U568" s="350"/>
      <c r="V568" s="350"/>
      <c r="W568" s="350"/>
      <c r="X568" s="350"/>
      <c r="Y568" s="350"/>
      <c r="Z568" s="350"/>
    </row>
    <row r="569" spans="1:13" ht="18.75" customHeight="1">
      <c r="A569" s="14">
        <v>475</v>
      </c>
      <c r="B569" s="2016"/>
      <c r="C569" s="293">
        <v>9501</v>
      </c>
      <c r="D569" s="334" t="s">
        <v>2059</v>
      </c>
      <c r="E569" s="643"/>
      <c r="F569" s="644">
        <f aca="true" t="shared" si="117" ref="F569:F587">G569+H569+I569+J569</f>
        <v>0</v>
      </c>
      <c r="G569" s="542"/>
      <c r="H569" s="1485">
        <v>0</v>
      </c>
      <c r="I569" s="1485">
        <v>0</v>
      </c>
      <c r="J569" s="749">
        <v>0</v>
      </c>
      <c r="K569" s="1527">
        <f t="shared" si="110"/>
      </c>
      <c r="L569" s="686"/>
      <c r="M569" s="2017">
        <f aca="true" t="shared" si="118" ref="M569:M574">+IF(OR($F569&lt;0,$E569&lt;0),"Гр.знак",0)</f>
        <v>0</v>
      </c>
    </row>
    <row r="570" spans="1:26" ht="18.75" customHeight="1">
      <c r="A570" s="14">
        <v>480</v>
      </c>
      <c r="B570" s="2014"/>
      <c r="C570" s="295">
        <v>9502</v>
      </c>
      <c r="D570" s="466" t="s">
        <v>2060</v>
      </c>
      <c r="E570" s="645"/>
      <c r="F570" s="646">
        <f t="shared" si="117"/>
        <v>0</v>
      </c>
      <c r="G570" s="1486">
        <v>0</v>
      </c>
      <c r="H570" s="546"/>
      <c r="I570" s="1487">
        <v>0</v>
      </c>
      <c r="J570" s="750">
        <v>0</v>
      </c>
      <c r="K570" s="1527">
        <f t="shared" si="110"/>
      </c>
      <c r="L570" s="686"/>
      <c r="M570" s="2017">
        <f t="shared" si="118"/>
        <v>0</v>
      </c>
      <c r="N570" s="352"/>
      <c r="O570" s="352"/>
      <c r="P570" s="352"/>
      <c r="Q570" s="352"/>
      <c r="R570" s="352"/>
      <c r="S570" s="352"/>
      <c r="T570" s="352"/>
      <c r="U570" s="352"/>
      <c r="V570" s="352"/>
      <c r="W570" s="352"/>
      <c r="X570" s="352"/>
      <c r="Y570" s="352"/>
      <c r="Z570" s="352"/>
    </row>
    <row r="571" spans="1:13" ht="18.75" customHeight="1">
      <c r="A571" s="14">
        <v>485</v>
      </c>
      <c r="B571" s="2014"/>
      <c r="C571" s="295">
        <v>9503</v>
      </c>
      <c r="D571" s="466" t="s">
        <v>1245</v>
      </c>
      <c r="E571" s="645"/>
      <c r="F571" s="646">
        <f t="shared" si="117"/>
        <v>0</v>
      </c>
      <c r="G571" s="545"/>
      <c r="H571" s="1487">
        <v>0</v>
      </c>
      <c r="I571" s="1487">
        <v>0</v>
      </c>
      <c r="J571" s="750">
        <v>0</v>
      </c>
      <c r="K571" s="1527">
        <f t="shared" si="110"/>
      </c>
      <c r="L571" s="686"/>
      <c r="M571" s="2017">
        <f t="shared" si="118"/>
        <v>0</v>
      </c>
    </row>
    <row r="572" spans="1:13" ht="18.75" customHeight="1">
      <c r="A572" s="14">
        <v>490</v>
      </c>
      <c r="B572" s="2014"/>
      <c r="C572" s="295">
        <v>9504</v>
      </c>
      <c r="D572" s="466" t="s">
        <v>1246</v>
      </c>
      <c r="E572" s="645"/>
      <c r="F572" s="646">
        <f t="shared" si="117"/>
        <v>0</v>
      </c>
      <c r="G572" s="1486">
        <v>0</v>
      </c>
      <c r="H572" s="546"/>
      <c r="I572" s="1487">
        <v>0</v>
      </c>
      <c r="J572" s="750">
        <v>0</v>
      </c>
      <c r="K572" s="1527">
        <f t="shared" si="110"/>
      </c>
      <c r="L572" s="686"/>
      <c r="M572" s="2017">
        <f t="shared" si="118"/>
        <v>0</v>
      </c>
    </row>
    <row r="573" spans="1:13" ht="18.75" customHeight="1">
      <c r="A573" s="14">
        <v>495</v>
      </c>
      <c r="B573" s="2014"/>
      <c r="C573" s="295">
        <v>9505</v>
      </c>
      <c r="D573" s="466" t="s">
        <v>2061</v>
      </c>
      <c r="E573" s="645"/>
      <c r="F573" s="646">
        <f t="shared" si="117"/>
        <v>0</v>
      </c>
      <c r="G573" s="1486">
        <v>0</v>
      </c>
      <c r="H573" s="1487">
        <v>0</v>
      </c>
      <c r="I573" s="546"/>
      <c r="J573" s="750">
        <v>0</v>
      </c>
      <c r="K573" s="1527">
        <f t="shared" si="110"/>
      </c>
      <c r="L573" s="686"/>
      <c r="M573" s="2017">
        <f t="shared" si="118"/>
        <v>0</v>
      </c>
    </row>
    <row r="574" spans="1:13" ht="18.75" customHeight="1">
      <c r="A574" s="14">
        <v>500</v>
      </c>
      <c r="B574" s="2014"/>
      <c r="C574" s="295">
        <v>9506</v>
      </c>
      <c r="D574" s="466" t="s">
        <v>2062</v>
      </c>
      <c r="E574" s="645"/>
      <c r="F574" s="646">
        <f t="shared" si="117"/>
        <v>0</v>
      </c>
      <c r="G574" s="1486">
        <v>0</v>
      </c>
      <c r="H574" s="1487">
        <v>0</v>
      </c>
      <c r="I574" s="546"/>
      <c r="J574" s="750">
        <v>0</v>
      </c>
      <c r="K574" s="1527">
        <f t="shared" si="110"/>
      </c>
      <c r="L574" s="686"/>
      <c r="M574" s="2017">
        <f t="shared" si="118"/>
        <v>0</v>
      </c>
    </row>
    <row r="575" spans="1:13" ht="18.75" customHeight="1">
      <c r="A575" s="14">
        <v>505</v>
      </c>
      <c r="B575" s="2014"/>
      <c r="C575" s="295">
        <v>9507</v>
      </c>
      <c r="D575" s="466" t="s">
        <v>2063</v>
      </c>
      <c r="E575" s="645">
        <v>-37430800</v>
      </c>
      <c r="F575" s="646">
        <f t="shared" si="117"/>
        <v>0</v>
      </c>
      <c r="G575" s="545"/>
      <c r="H575" s="1487">
        <v>0</v>
      </c>
      <c r="I575" s="1487">
        <v>0</v>
      </c>
      <c r="J575" s="750">
        <v>0</v>
      </c>
      <c r="K575" s="1527">
        <f t="shared" si="110"/>
        <v>1</v>
      </c>
      <c r="L575" s="686"/>
      <c r="M575" s="2017">
        <f aca="true" t="shared" si="119" ref="M575:M580">+IF(OR($F575&gt;0,$E575&gt;0),"Гр.знак",0)</f>
        <v>0</v>
      </c>
    </row>
    <row r="576" spans="1:13" ht="18.75" customHeight="1">
      <c r="A576" s="14">
        <v>510</v>
      </c>
      <c r="B576" s="2014"/>
      <c r="C576" s="295">
        <v>9508</v>
      </c>
      <c r="D576" s="466" t="s">
        <v>2064</v>
      </c>
      <c r="E576" s="645"/>
      <c r="F576" s="646">
        <f t="shared" si="117"/>
        <v>0</v>
      </c>
      <c r="G576" s="1486">
        <v>0</v>
      </c>
      <c r="H576" s="546"/>
      <c r="I576" s="1487">
        <v>0</v>
      </c>
      <c r="J576" s="750">
        <v>0</v>
      </c>
      <c r="K576" s="1527">
        <f t="shared" si="110"/>
      </c>
      <c r="L576" s="686"/>
      <c r="M576" s="2017">
        <f t="shared" si="119"/>
        <v>0</v>
      </c>
    </row>
    <row r="577" spans="1:13" ht="18.75" customHeight="1">
      <c r="A577" s="14">
        <v>515</v>
      </c>
      <c r="B577" s="2014"/>
      <c r="C577" s="295">
        <v>9509</v>
      </c>
      <c r="D577" s="466" t="s">
        <v>1247</v>
      </c>
      <c r="E577" s="645"/>
      <c r="F577" s="646">
        <f t="shared" si="117"/>
        <v>0</v>
      </c>
      <c r="G577" s="545"/>
      <c r="H577" s="1487">
        <v>0</v>
      </c>
      <c r="I577" s="1487">
        <v>0</v>
      </c>
      <c r="J577" s="750">
        <v>0</v>
      </c>
      <c r="K577" s="1527">
        <f t="shared" si="110"/>
      </c>
      <c r="L577" s="686"/>
      <c r="M577" s="2017">
        <f t="shared" si="119"/>
        <v>0</v>
      </c>
    </row>
    <row r="578" spans="1:13" ht="18.75" customHeight="1">
      <c r="A578" s="14">
        <v>520</v>
      </c>
      <c r="B578" s="2014"/>
      <c r="C578" s="295">
        <v>9510</v>
      </c>
      <c r="D578" s="466" t="s">
        <v>1248</v>
      </c>
      <c r="E578" s="645"/>
      <c r="F578" s="646">
        <f t="shared" si="117"/>
        <v>0</v>
      </c>
      <c r="G578" s="1486">
        <v>0</v>
      </c>
      <c r="H578" s="546"/>
      <c r="I578" s="1487">
        <v>0</v>
      </c>
      <c r="J578" s="750">
        <v>0</v>
      </c>
      <c r="K578" s="1527">
        <f t="shared" si="110"/>
      </c>
      <c r="L578" s="686"/>
      <c r="M578" s="2017">
        <f t="shared" si="119"/>
        <v>0</v>
      </c>
    </row>
    <row r="579" spans="1:13" ht="18.75" customHeight="1">
      <c r="A579" s="14">
        <v>525</v>
      </c>
      <c r="B579" s="2014"/>
      <c r="C579" s="295">
        <v>9511</v>
      </c>
      <c r="D579" s="466" t="s">
        <v>2065</v>
      </c>
      <c r="E579" s="645"/>
      <c r="F579" s="646">
        <f t="shared" si="117"/>
        <v>-16121</v>
      </c>
      <c r="G579" s="1486">
        <v>0</v>
      </c>
      <c r="H579" s="1487">
        <v>0</v>
      </c>
      <c r="I579" s="546">
        <v>-16121</v>
      </c>
      <c r="J579" s="750">
        <v>0</v>
      </c>
      <c r="K579" s="1527">
        <f t="shared" si="110"/>
        <v>1</v>
      </c>
      <c r="L579" s="686"/>
      <c r="M579" s="2017">
        <f t="shared" si="119"/>
        <v>0</v>
      </c>
    </row>
    <row r="580" spans="1:13" ht="18.75" customHeight="1">
      <c r="A580" s="14">
        <v>530</v>
      </c>
      <c r="B580" s="2014"/>
      <c r="C580" s="295">
        <v>9512</v>
      </c>
      <c r="D580" s="466" t="s">
        <v>2066</v>
      </c>
      <c r="E580" s="645"/>
      <c r="F580" s="646">
        <f t="shared" si="117"/>
        <v>-1370</v>
      </c>
      <c r="G580" s="1486">
        <v>0</v>
      </c>
      <c r="H580" s="1487">
        <v>0</v>
      </c>
      <c r="I580" s="546">
        <v>-1370</v>
      </c>
      <c r="J580" s="750">
        <v>0</v>
      </c>
      <c r="K580" s="1527">
        <f t="shared" si="110"/>
        <v>1</v>
      </c>
      <c r="L580" s="686"/>
      <c r="M580" s="2017">
        <f t="shared" si="119"/>
        <v>0</v>
      </c>
    </row>
    <row r="581" spans="1:12" ht="18.75" customHeight="1">
      <c r="A581" s="14">
        <v>535</v>
      </c>
      <c r="B581" s="292"/>
      <c r="C581" s="319">
        <v>9513</v>
      </c>
      <c r="D581" s="330" t="s">
        <v>881</v>
      </c>
      <c r="E581" s="693"/>
      <c r="F581" s="662">
        <f t="shared" si="117"/>
        <v>0</v>
      </c>
      <c r="G581" s="609"/>
      <c r="H581" s="610"/>
      <c r="I581" s="1493">
        <v>0</v>
      </c>
      <c r="J581" s="611"/>
      <c r="K581" s="1527">
        <f t="shared" si="110"/>
      </c>
      <c r="L581" s="686"/>
    </row>
    <row r="582" spans="1:12" ht="31.5">
      <c r="A582" s="14">
        <v>540</v>
      </c>
      <c r="B582" s="292"/>
      <c r="C582" s="380">
        <v>9514</v>
      </c>
      <c r="D582" s="514" t="s">
        <v>882</v>
      </c>
      <c r="E582" s="694"/>
      <c r="F582" s="695">
        <f t="shared" si="117"/>
        <v>-4</v>
      </c>
      <c r="G582" s="1486">
        <v>0</v>
      </c>
      <c r="H582" s="735"/>
      <c r="I582" s="735">
        <v>-4</v>
      </c>
      <c r="J582" s="1490">
        <v>0</v>
      </c>
      <c r="K582" s="1527">
        <f t="shared" si="110"/>
        <v>1</v>
      </c>
      <c r="L582" s="686"/>
    </row>
    <row r="583" spans="1:13" s="536" customFormat="1" ht="27.75" customHeight="1">
      <c r="A583" s="535">
        <v>545</v>
      </c>
      <c r="B583" s="2014"/>
      <c r="C583" s="1099">
        <v>9521</v>
      </c>
      <c r="D583" s="529" t="s">
        <v>1682</v>
      </c>
      <c r="E583" s="649"/>
      <c r="F583" s="650">
        <f t="shared" si="117"/>
        <v>0</v>
      </c>
      <c r="G583" s="1486">
        <v>0</v>
      </c>
      <c r="H583" s="552"/>
      <c r="I583" s="1487">
        <v>0</v>
      </c>
      <c r="J583" s="1491">
        <v>0</v>
      </c>
      <c r="K583" s="1527">
        <f t="shared" si="110"/>
      </c>
      <c r="L583" s="687"/>
      <c r="M583" s="2017">
        <f>+IF(OR($F583&lt;0,$E583&lt;0),"Гр.знак",0)</f>
        <v>0</v>
      </c>
    </row>
    <row r="584" spans="1:13" ht="18.75" customHeight="1">
      <c r="A584" s="14">
        <v>550</v>
      </c>
      <c r="B584" s="2014"/>
      <c r="C584" s="295">
        <v>9522</v>
      </c>
      <c r="D584" s="1049" t="s">
        <v>1683</v>
      </c>
      <c r="E584" s="645"/>
      <c r="F584" s="646">
        <f t="shared" si="117"/>
        <v>0</v>
      </c>
      <c r="G584" s="1486">
        <v>0</v>
      </c>
      <c r="H584" s="1487">
        <v>0</v>
      </c>
      <c r="I584" s="546"/>
      <c r="J584" s="750">
        <v>0</v>
      </c>
      <c r="K584" s="1527">
        <f t="shared" si="110"/>
      </c>
      <c r="L584" s="686"/>
      <c r="M584" s="2017">
        <f>+IF(OR($F584&lt;0,$E584&lt;0),"Гр.знак",0)</f>
        <v>0</v>
      </c>
    </row>
    <row r="585" spans="1:13" ht="18.75" customHeight="1">
      <c r="A585" s="14">
        <v>555</v>
      </c>
      <c r="B585" s="2014"/>
      <c r="C585" s="295">
        <v>9528</v>
      </c>
      <c r="D585" s="1049" t="s">
        <v>1684</v>
      </c>
      <c r="E585" s="645"/>
      <c r="F585" s="646">
        <f t="shared" si="117"/>
        <v>0</v>
      </c>
      <c r="G585" s="1486">
        <v>0</v>
      </c>
      <c r="H585" s="1487">
        <v>0</v>
      </c>
      <c r="I585" s="546"/>
      <c r="J585" s="750">
        <v>0</v>
      </c>
      <c r="K585" s="1527">
        <f t="shared" si="110"/>
      </c>
      <c r="L585" s="686"/>
      <c r="M585" s="2017">
        <f>+IF(OR($F585&gt;0,$E585&gt;0),"Гр.знак",0)</f>
        <v>0</v>
      </c>
    </row>
    <row r="586" spans="1:13" ht="18.75" customHeight="1">
      <c r="A586" s="14">
        <v>560</v>
      </c>
      <c r="B586" s="2014"/>
      <c r="C586" s="470">
        <v>9529</v>
      </c>
      <c r="D586" s="720" t="s">
        <v>1685</v>
      </c>
      <c r="E586" s="647"/>
      <c r="F586" s="648">
        <f t="shared" si="117"/>
        <v>0</v>
      </c>
      <c r="G586" s="1486">
        <v>0</v>
      </c>
      <c r="H586" s="549"/>
      <c r="I586" s="1487">
        <v>0</v>
      </c>
      <c r="J586" s="751">
        <v>0</v>
      </c>
      <c r="K586" s="1527">
        <f t="shared" si="110"/>
      </c>
      <c r="L586" s="686"/>
      <c r="M586" s="2017">
        <f>+IF(OR($F586&gt;0,$E586&gt;0),"Гр.знак",0)</f>
        <v>0</v>
      </c>
    </row>
    <row r="587" spans="1:12" ht="30">
      <c r="A587" s="14">
        <v>561</v>
      </c>
      <c r="B587" s="292"/>
      <c r="C587" s="379">
        <v>9549</v>
      </c>
      <c r="D587" s="1050" t="s">
        <v>883</v>
      </c>
      <c r="E587" s="721"/>
      <c r="F587" s="717">
        <f t="shared" si="117"/>
        <v>0</v>
      </c>
      <c r="G587" s="1486">
        <v>0</v>
      </c>
      <c r="H587" s="743"/>
      <c r="I587" s="743"/>
      <c r="J587" s="1492">
        <v>0</v>
      </c>
      <c r="K587" s="1527">
        <f t="shared" si="110"/>
      </c>
      <c r="L587" s="686"/>
    </row>
    <row r="588" spans="1:26" s="352" customFormat="1" ht="18.75" customHeight="1">
      <c r="A588" s="17">
        <v>565</v>
      </c>
      <c r="B588" s="537">
        <v>9600</v>
      </c>
      <c r="C588" s="2263" t="s">
        <v>1629</v>
      </c>
      <c r="D588" s="2265"/>
      <c r="E588" s="1739">
        <f aca="true" t="shared" si="120" ref="E588:J588">SUM(E589:E592)</f>
        <v>0</v>
      </c>
      <c r="F588" s="663">
        <f t="shared" si="120"/>
        <v>0</v>
      </c>
      <c r="G588" s="731">
        <f t="shared" si="120"/>
        <v>0</v>
      </c>
      <c r="H588" s="729">
        <f t="shared" si="120"/>
        <v>0</v>
      </c>
      <c r="I588" s="729">
        <f t="shared" si="120"/>
        <v>0</v>
      </c>
      <c r="J588" s="697">
        <f t="shared" si="120"/>
        <v>0</v>
      </c>
      <c r="K588" s="1527">
        <f t="shared" si="110"/>
      </c>
      <c r="L588" s="686"/>
      <c r="M588" s="2017"/>
      <c r="N588" s="350"/>
      <c r="O588" s="350"/>
      <c r="P588" s="350"/>
      <c r="Q588" s="350"/>
      <c r="R588" s="350"/>
      <c r="S588" s="350"/>
      <c r="T588" s="350"/>
      <c r="U588" s="350"/>
      <c r="V588" s="350"/>
      <c r="W588" s="350"/>
      <c r="X588" s="350"/>
      <c r="Y588" s="350"/>
      <c r="Z588" s="350"/>
    </row>
    <row r="589" spans="1:13" ht="31.5" customHeight="1">
      <c r="A589" s="19">
        <v>566</v>
      </c>
      <c r="B589" s="2014"/>
      <c r="C589" s="521">
        <v>9601</v>
      </c>
      <c r="D589" s="722" t="s">
        <v>1639</v>
      </c>
      <c r="E589" s="643"/>
      <c r="F589" s="644">
        <f>G589+H589+I589+J589</f>
        <v>0</v>
      </c>
      <c r="G589" s="542"/>
      <c r="H589" s="1485">
        <v>0</v>
      </c>
      <c r="I589" s="1485">
        <v>0</v>
      </c>
      <c r="J589" s="749">
        <v>0</v>
      </c>
      <c r="K589" s="1527">
        <f t="shared" si="110"/>
      </c>
      <c r="L589" s="686"/>
      <c r="M589" s="2017">
        <f>+IF(AND($F$12&lt;&gt;"9900",OR($F589&lt;0,$E589&lt;0)),"Гр.знак",IF(AND($F$12="9900",OR($F589&gt;0,$E589&gt;0)),"Гр.знак",0))</f>
        <v>0</v>
      </c>
    </row>
    <row r="590" spans="1:26" ht="36" customHeight="1">
      <c r="A590" s="19">
        <v>567</v>
      </c>
      <c r="B590" s="2014"/>
      <c r="C590" s="712">
        <v>9603</v>
      </c>
      <c r="D590" s="723" t="s">
        <v>1444</v>
      </c>
      <c r="E590" s="647"/>
      <c r="F590" s="648">
        <f>G590+H590+I590+J590</f>
        <v>0</v>
      </c>
      <c r="G590" s="548"/>
      <c r="H590" s="752">
        <v>0</v>
      </c>
      <c r="I590" s="752">
        <v>0</v>
      </c>
      <c r="J590" s="751">
        <v>0</v>
      </c>
      <c r="K590" s="1527">
        <f t="shared" si="110"/>
      </c>
      <c r="L590" s="686"/>
      <c r="M590" s="2017">
        <f>+IF(AND($F$12&lt;&gt;"9900",OR($F590&lt;0,$E590&lt;0)),"Гр.знак",IF(AND($F$12="9900",OR($F590&gt;0,$E590&gt;0)),"Гр.знак",0))</f>
        <v>0</v>
      </c>
      <c r="N590" s="352"/>
      <c r="O590" s="352"/>
      <c r="P590" s="352"/>
      <c r="Q590" s="352"/>
      <c r="R590" s="352"/>
      <c r="S590" s="352"/>
      <c r="T590" s="352"/>
      <c r="U590" s="352"/>
      <c r="V590" s="352"/>
      <c r="W590" s="352"/>
      <c r="X590" s="352"/>
      <c r="Y590" s="352"/>
      <c r="Z590" s="352"/>
    </row>
    <row r="591" spans="1:13" ht="30.75" customHeight="1">
      <c r="A591" s="19">
        <v>568</v>
      </c>
      <c r="B591" s="2014"/>
      <c r="C591" s="468">
        <v>9607</v>
      </c>
      <c r="D591" s="724" t="s">
        <v>1640</v>
      </c>
      <c r="E591" s="649"/>
      <c r="F591" s="650">
        <f>G591+H591+I591+J591</f>
        <v>0</v>
      </c>
      <c r="G591" s="551"/>
      <c r="H591" s="1483">
        <v>0</v>
      </c>
      <c r="I591" s="1483">
        <v>0</v>
      </c>
      <c r="J591" s="1491">
        <v>0</v>
      </c>
      <c r="K591" s="1527">
        <f aca="true" t="shared" si="121" ref="K591:K598">(IF($E591&lt;&gt;0,$K$2,IF($F591&lt;&gt;0,$K$2,IF($G591&lt;&gt;0,$K$2,IF($H591&lt;&gt;0,$K$2,IF($I591&lt;&gt;0,$K$2,IF($J591&lt;&gt;0,$K$2,"")))))))</f>
      </c>
      <c r="L591" s="686"/>
      <c r="M591" s="2017">
        <f>+IF(AND($F$12&lt;&gt;"9900",OR($F591&gt;0,$E591&gt;0)),"Гр.знак",IF(AND($F$12="9900",OR($F591&lt;0,$E591&lt;0)),"Гр.знак",0))</f>
        <v>0</v>
      </c>
    </row>
    <row r="592" spans="1:13" ht="18.75" customHeight="1">
      <c r="A592" s="19">
        <v>569</v>
      </c>
      <c r="B592" s="2014"/>
      <c r="C592" s="523">
        <v>9609</v>
      </c>
      <c r="D592" s="725" t="s">
        <v>1686</v>
      </c>
      <c r="E592" s="651"/>
      <c r="F592" s="652">
        <f>G592+H592+I592+J592</f>
        <v>0</v>
      </c>
      <c r="G592" s="554"/>
      <c r="H592" s="1489">
        <v>0</v>
      </c>
      <c r="I592" s="1489">
        <v>0</v>
      </c>
      <c r="J592" s="1494">
        <v>0</v>
      </c>
      <c r="K592" s="1527">
        <f t="shared" si="121"/>
      </c>
      <c r="L592" s="686"/>
      <c r="M592" s="2017">
        <f>+IF(AND($F$12&lt;&gt;"9900",OR($F592&gt;0,$E592&gt;0)),"Гр.знак",IF(AND($F$12="9900",OR($F592&lt;0,$E592&lt;0)),"Гр.знак",0))</f>
        <v>0</v>
      </c>
    </row>
    <row r="593" spans="1:26" s="352" customFormat="1" ht="18" customHeight="1">
      <c r="A593" s="17">
        <v>575</v>
      </c>
      <c r="B593" s="537">
        <v>9800</v>
      </c>
      <c r="C593" s="2263" t="s">
        <v>884</v>
      </c>
      <c r="D593" s="2265"/>
      <c r="E593" s="1739">
        <f aca="true" t="shared" si="122" ref="E593:J593">SUM(E594:E598)</f>
        <v>0</v>
      </c>
      <c r="F593" s="663">
        <f t="shared" si="122"/>
        <v>0</v>
      </c>
      <c r="G593" s="731">
        <f t="shared" si="122"/>
        <v>-56109</v>
      </c>
      <c r="H593" s="729">
        <f t="shared" si="122"/>
        <v>0</v>
      </c>
      <c r="I593" s="729">
        <f t="shared" si="122"/>
        <v>56109</v>
      </c>
      <c r="J593" s="697">
        <f t="shared" si="122"/>
        <v>0</v>
      </c>
      <c r="K593" s="1527">
        <f t="shared" si="121"/>
        <v>1</v>
      </c>
      <c r="L593" s="686"/>
      <c r="M593" s="2017"/>
      <c r="N593" s="350"/>
      <c r="O593" s="350"/>
      <c r="P593" s="350"/>
      <c r="Q593" s="350"/>
      <c r="R593" s="350"/>
      <c r="S593" s="350"/>
      <c r="T593" s="350"/>
      <c r="U593" s="350"/>
      <c r="V593" s="350"/>
      <c r="W593" s="350"/>
      <c r="X593" s="350"/>
      <c r="Y593" s="350"/>
      <c r="Z593" s="350"/>
    </row>
    <row r="594" spans="1:12" ht="18.75" customHeight="1">
      <c r="A594" s="14">
        <v>580</v>
      </c>
      <c r="B594" s="382"/>
      <c r="C594" s="293">
        <v>9810</v>
      </c>
      <c r="D594" s="334" t="s">
        <v>2047</v>
      </c>
      <c r="E594" s="753">
        <v>0</v>
      </c>
      <c r="F594" s="644">
        <f>G594+H594+I594+J594</f>
        <v>0</v>
      </c>
      <c r="G594" s="542">
        <v>-44850</v>
      </c>
      <c r="H594" s="543"/>
      <c r="I594" s="543">
        <v>44850</v>
      </c>
      <c r="J594" s="749">
        <v>0</v>
      </c>
      <c r="K594" s="1527">
        <f t="shared" si="121"/>
        <v>1</v>
      </c>
      <c r="L594" s="686"/>
    </row>
    <row r="595" spans="1:26" ht="18.75" customHeight="1">
      <c r="A595" s="14">
        <v>585</v>
      </c>
      <c r="B595" s="382"/>
      <c r="C595" s="295">
        <v>9820</v>
      </c>
      <c r="D595" s="296" t="s">
        <v>2048</v>
      </c>
      <c r="E595" s="754">
        <v>0</v>
      </c>
      <c r="F595" s="646">
        <f>G595+H595+I595+J595</f>
        <v>0</v>
      </c>
      <c r="G595" s="545"/>
      <c r="H595" s="546"/>
      <c r="I595" s="546"/>
      <c r="J595" s="750">
        <v>0</v>
      </c>
      <c r="K595" s="1527">
        <f t="shared" si="121"/>
      </c>
      <c r="L595" s="686"/>
      <c r="N595" s="352"/>
      <c r="O595" s="352"/>
      <c r="P595" s="352"/>
      <c r="Q595" s="352"/>
      <c r="R595" s="352"/>
      <c r="S595" s="352"/>
      <c r="T595" s="352"/>
      <c r="U595" s="352"/>
      <c r="V595" s="352"/>
      <c r="W595" s="352"/>
      <c r="X595" s="352"/>
      <c r="Y595" s="352"/>
      <c r="Z595" s="352"/>
    </row>
    <row r="596" spans="1:12" ht="18.75" customHeight="1">
      <c r="A596" s="14">
        <v>590</v>
      </c>
      <c r="B596" s="382"/>
      <c r="C596" s="295">
        <v>9830</v>
      </c>
      <c r="D596" s="296" t="s">
        <v>2049</v>
      </c>
      <c r="E596" s="754">
        <v>0</v>
      </c>
      <c r="F596" s="646">
        <f>G596+H596+I596+J596</f>
        <v>0</v>
      </c>
      <c r="G596" s="545">
        <v>-11259</v>
      </c>
      <c r="H596" s="546"/>
      <c r="I596" s="546">
        <v>11259</v>
      </c>
      <c r="J596" s="750">
        <v>0</v>
      </c>
      <c r="K596" s="1527">
        <f t="shared" si="121"/>
        <v>1</v>
      </c>
      <c r="L596" s="686"/>
    </row>
    <row r="597" spans="1:12" ht="18.75" customHeight="1">
      <c r="A597" s="9">
        <v>600</v>
      </c>
      <c r="B597" s="382"/>
      <c r="C597" s="319">
        <v>9850</v>
      </c>
      <c r="D597" s="330" t="s">
        <v>2050</v>
      </c>
      <c r="E597" s="755">
        <v>0</v>
      </c>
      <c r="F597" s="662">
        <f>G597+H597+I597+J597</f>
        <v>0</v>
      </c>
      <c r="G597" s="609"/>
      <c r="H597" s="752">
        <v>0</v>
      </c>
      <c r="I597" s="752">
        <v>0</v>
      </c>
      <c r="J597" s="751">
        <v>0</v>
      </c>
      <c r="K597" s="1527">
        <f t="shared" si="121"/>
      </c>
      <c r="L597" s="686"/>
    </row>
    <row r="598" spans="1:12" ht="33" customHeight="1">
      <c r="A598" s="9">
        <v>605</v>
      </c>
      <c r="B598" s="670"/>
      <c r="C598" s="703">
        <v>9890</v>
      </c>
      <c r="D598" s="726" t="s">
        <v>885</v>
      </c>
      <c r="E598" s="727"/>
      <c r="F598" s="704">
        <f>G598+H598+I598+J598</f>
        <v>0</v>
      </c>
      <c r="G598" s="744"/>
      <c r="H598" s="748">
        <v>0</v>
      </c>
      <c r="I598" s="748">
        <v>0</v>
      </c>
      <c r="J598" s="747">
        <v>0</v>
      </c>
      <c r="K598" s="1527">
        <f t="shared" si="121"/>
      </c>
      <c r="L598" s="686"/>
    </row>
    <row r="599" spans="1:12" ht="20.25" customHeight="1" thickBot="1">
      <c r="A599" s="9">
        <v>610</v>
      </c>
      <c r="B599" s="1475" t="s">
        <v>1267</v>
      </c>
      <c r="C599" s="1476" t="s">
        <v>754</v>
      </c>
      <c r="D599" s="1477" t="s">
        <v>1642</v>
      </c>
      <c r="E599" s="1478">
        <f aca="true" t="shared" si="123" ref="E599:J599">SUM(E463,E467,E470,E473,E483,E499,E504,E505,E514,E518,E523,E480,E526,E533,E537,E538,E543,E546,E568,E588,E593)</f>
        <v>-37430800</v>
      </c>
      <c r="F599" s="1478">
        <f t="shared" si="123"/>
        <v>-17495</v>
      </c>
      <c r="G599" s="1479">
        <f t="shared" si="123"/>
        <v>-56109</v>
      </c>
      <c r="H599" s="1480">
        <f t="shared" si="123"/>
        <v>0</v>
      </c>
      <c r="I599" s="1480">
        <f t="shared" si="123"/>
        <v>38614</v>
      </c>
      <c r="J599" s="1481">
        <f t="shared" si="123"/>
        <v>0</v>
      </c>
      <c r="K599" s="4">
        <v>1</v>
      </c>
      <c r="L599" s="531"/>
    </row>
    <row r="600" spans="1:12" ht="18.75" customHeight="1" thickTop="1">
      <c r="A600" s="9"/>
      <c r="B600" s="774"/>
      <c r="C600" s="774"/>
      <c r="D600" s="1462">
        <f>+IF(+SUM(E600:J600)=0,0,"Контрола: дефицит/излишък = финансиране с обратен знак (V. + VІ. = 0)")</f>
        <v>0</v>
      </c>
      <c r="E600" s="1110">
        <f aca="true" t="shared" si="124" ref="E600:J600">E599+E447</f>
        <v>0</v>
      </c>
      <c r="F600" s="1111">
        <f t="shared" si="124"/>
        <v>0</v>
      </c>
      <c r="G600" s="1112">
        <f t="shared" si="124"/>
        <v>0</v>
      </c>
      <c r="H600" s="1112">
        <f t="shared" si="124"/>
        <v>0</v>
      </c>
      <c r="I600" s="1112">
        <f t="shared" si="124"/>
        <v>0</v>
      </c>
      <c r="J600" s="1112">
        <f t="shared" si="124"/>
        <v>0</v>
      </c>
      <c r="K600" s="4">
        <v>1</v>
      </c>
      <c r="L600" s="531"/>
    </row>
    <row r="601" spans="1:12" ht="7.5" customHeight="1">
      <c r="A601" s="9"/>
      <c r="B601" s="1121"/>
      <c r="C601" s="1122"/>
      <c r="D601" s="385"/>
      <c r="E601" s="385"/>
      <c r="F601" s="385"/>
      <c r="G601" s="774"/>
      <c r="H601" s="774"/>
      <c r="I601" s="774"/>
      <c r="J601" s="774"/>
      <c r="K601" s="4">
        <v>1</v>
      </c>
      <c r="L601" s="531"/>
    </row>
    <row r="602" spans="1:12" ht="45" customHeight="1">
      <c r="A602" s="9"/>
      <c r="B602" s="1121"/>
      <c r="C602" s="1123"/>
      <c r="D602" s="1124"/>
      <c r="E602" s="1125"/>
      <c r="F602" s="1125" t="s">
        <v>1643</v>
      </c>
      <c r="G602" s="2270" t="s">
        <v>1689</v>
      </c>
      <c r="H602" s="2271"/>
      <c r="I602" s="2271"/>
      <c r="J602" s="2272"/>
      <c r="K602" s="4">
        <v>1</v>
      </c>
      <c r="L602" s="688"/>
    </row>
    <row r="603" spans="1:12" ht="18.75" customHeight="1">
      <c r="A603" s="9"/>
      <c r="B603" s="1121"/>
      <c r="C603" s="1122"/>
      <c r="D603" s="1124"/>
      <c r="E603" s="774"/>
      <c r="F603" s="1122"/>
      <c r="G603" s="2268" t="s">
        <v>1422</v>
      </c>
      <c r="H603" s="2268"/>
      <c r="I603" s="2268"/>
      <c r="J603" s="2268"/>
      <c r="K603" s="4">
        <v>1</v>
      </c>
      <c r="L603" s="688"/>
    </row>
    <row r="604" spans="1:12" ht="6.75" customHeight="1">
      <c r="A604" s="9"/>
      <c r="B604" s="1121"/>
      <c r="C604" s="1122"/>
      <c r="D604" s="1124"/>
      <c r="E604" s="774"/>
      <c r="F604" s="1122"/>
      <c r="G604" s="385"/>
      <c r="H604" s="385"/>
      <c r="I604" s="385"/>
      <c r="J604" s="385"/>
      <c r="K604" s="4">
        <v>1</v>
      </c>
      <c r="L604" s="688"/>
    </row>
    <row r="605" spans="1:12" ht="45.75" customHeight="1">
      <c r="A605" s="9"/>
      <c r="B605" s="1121"/>
      <c r="C605" s="1119" t="s">
        <v>1680</v>
      </c>
      <c r="D605" s="1115" t="s">
        <v>1689</v>
      </c>
      <c r="E605" s="1128"/>
      <c r="F605" s="385" t="s">
        <v>1416</v>
      </c>
      <c r="G605" s="2280" t="s">
        <v>1690</v>
      </c>
      <c r="H605" s="2281"/>
      <c r="I605" s="2281"/>
      <c r="J605" s="2282"/>
      <c r="K605" s="4">
        <v>1</v>
      </c>
      <c r="L605" s="688"/>
    </row>
    <row r="606" spans="1:12" ht="21.75" customHeight="1">
      <c r="A606" s="9"/>
      <c r="B606" s="2269" t="s">
        <v>1415</v>
      </c>
      <c r="C606" s="2269"/>
      <c r="D606" s="1130" t="s">
        <v>1671</v>
      </c>
      <c r="E606" s="1126"/>
      <c r="F606" s="1127"/>
      <c r="G606" s="2268" t="s">
        <v>1422</v>
      </c>
      <c r="H606" s="2268"/>
      <c r="I606" s="2268"/>
      <c r="J606" s="2268"/>
      <c r="K606" s="4">
        <v>1</v>
      </c>
      <c r="L606" s="688"/>
    </row>
    <row r="607" spans="1:12" ht="45" customHeight="1">
      <c r="A607" s="14"/>
      <c r="B607" s="2246">
        <v>43190</v>
      </c>
      <c r="C607" s="2247"/>
      <c r="D607" s="1131" t="s">
        <v>1417</v>
      </c>
      <c r="E607" s="1114" t="s">
        <v>1691</v>
      </c>
      <c r="F607" s="1120"/>
      <c r="G607" s="1129" t="s">
        <v>1418</v>
      </c>
      <c r="H607" s="2245" t="s">
        <v>1692</v>
      </c>
      <c r="I607" s="2243"/>
      <c r="J607" s="2244"/>
      <c r="K607" s="4">
        <v>1</v>
      </c>
      <c r="L607" s="688"/>
    </row>
    <row r="608" spans="1:26" s="377" customFormat="1" ht="6" customHeight="1">
      <c r="A608" s="689"/>
      <c r="B608" s="774"/>
      <c r="C608" s="774"/>
      <c r="D608" s="1121"/>
      <c r="E608" s="774"/>
      <c r="F608" s="774"/>
      <c r="G608" s="774"/>
      <c r="H608" s="774"/>
      <c r="I608" s="774"/>
      <c r="J608" s="774"/>
      <c r="K608" s="4">
        <v>1</v>
      </c>
      <c r="L608" s="688"/>
      <c r="M608" s="2017"/>
      <c r="N608" s="350"/>
      <c r="O608" s="350"/>
      <c r="P608" s="350"/>
      <c r="Q608" s="350"/>
      <c r="R608" s="350"/>
      <c r="S608" s="350"/>
      <c r="T608" s="350"/>
      <c r="U608" s="350"/>
      <c r="V608" s="350"/>
      <c r="W608" s="350"/>
      <c r="X608" s="350"/>
      <c r="Y608" s="350"/>
      <c r="Z608" s="350"/>
    </row>
    <row r="609" spans="1:12" ht="24" customHeight="1">
      <c r="A609" s="690"/>
      <c r="B609" s="690"/>
      <c r="C609" s="690"/>
      <c r="D609" s="691"/>
      <c r="E609" s="690"/>
      <c r="F609" s="690"/>
      <c r="G609" s="1129" t="s">
        <v>135</v>
      </c>
      <c r="H609" s="2242"/>
      <c r="I609" s="2243"/>
      <c r="J609" s="2244"/>
      <c r="K609" s="4">
        <v>1</v>
      </c>
      <c r="L609" s="531"/>
    </row>
    <row r="610" spans="2:11" ht="15">
      <c r="B610" s="311"/>
      <c r="C610" s="311"/>
      <c r="D610" s="696"/>
      <c r="E610" s="311"/>
      <c r="F610" s="311"/>
      <c r="G610" s="311"/>
      <c r="H610" s="311"/>
      <c r="I610" s="311"/>
      <c r="J610" s="311"/>
      <c r="K610" s="4">
        <v>1</v>
      </c>
    </row>
    <row r="611" spans="2:12" ht="15">
      <c r="B611" s="1123"/>
      <c r="C611" s="1123"/>
      <c r="D611" s="1142"/>
      <c r="E611" s="15"/>
      <c r="F611" s="15"/>
      <c r="G611" s="15"/>
      <c r="H611" s="15"/>
      <c r="I611" s="15"/>
      <c r="J611" s="15"/>
      <c r="K611" s="1525">
        <f>(IF($E745&lt;&gt;0,$K$2,IF($F745&lt;&gt;0,$K$2,IF($G745&lt;&gt;0,$K$2,IF($H745&lt;&gt;0,$K$2,IF($I745&lt;&gt;0,$K$2,IF($J745&lt;&gt;0,$K$2,"")))))))</f>
        <v>1</v>
      </c>
      <c r="L611" s="494"/>
    </row>
    <row r="612" spans="2:12" ht="15">
      <c r="B612" s="1123"/>
      <c r="C612" s="1143"/>
      <c r="D612" s="1144"/>
      <c r="E612" s="15"/>
      <c r="F612" s="15"/>
      <c r="G612" s="15"/>
      <c r="H612" s="15"/>
      <c r="I612" s="15"/>
      <c r="J612" s="15"/>
      <c r="K612" s="1525">
        <f>(IF($E745&lt;&gt;0,$K$2,IF($F745&lt;&gt;0,$K$2,IF($G745&lt;&gt;0,$K$2,IF($H745&lt;&gt;0,$K$2,IF($I745&lt;&gt;0,$K$2,IF($J745&lt;&gt;0,$K$2,"")))))))</f>
        <v>1</v>
      </c>
      <c r="L612" s="494"/>
    </row>
    <row r="613" spans="2:12" ht="15.75">
      <c r="B613" s="2208" t="str">
        <f>$B$7</f>
        <v>ОТЧЕТНИ ДАННИ ПО ЕБК ЗА ИЗПЪЛНЕНИЕТО НА БЮДЖЕТА</v>
      </c>
      <c r="C613" s="2209"/>
      <c r="D613" s="2209"/>
      <c r="E613" s="1145"/>
      <c r="F613" s="1145"/>
      <c r="G613" s="1146"/>
      <c r="H613" s="1146"/>
      <c r="I613" s="1146"/>
      <c r="J613" s="1146"/>
      <c r="K613" s="1525">
        <f>(IF($E745&lt;&gt;0,$K$2,IF($F745&lt;&gt;0,$K$2,IF($G745&lt;&gt;0,$K$2,IF($H745&lt;&gt;0,$K$2,IF($I745&lt;&gt;0,$K$2,IF($J745&lt;&gt;0,$K$2,"")))))))</f>
        <v>1</v>
      </c>
      <c r="L613" s="494"/>
    </row>
    <row r="614" spans="2:12" ht="15.75">
      <c r="B614" s="774"/>
      <c r="C614" s="1121"/>
      <c r="D614" s="1147"/>
      <c r="E614" s="1148" t="s">
        <v>983</v>
      </c>
      <c r="F614" s="1148" t="s">
        <v>889</v>
      </c>
      <c r="G614" s="775"/>
      <c r="H614" s="1149" t="s">
        <v>1413</v>
      </c>
      <c r="I614" s="1150"/>
      <c r="J614" s="1151"/>
      <c r="K614" s="1525">
        <f>(IF($E745&lt;&gt;0,$K$2,IF($F745&lt;&gt;0,$K$2,IF($G745&lt;&gt;0,$K$2,IF($H745&lt;&gt;0,$K$2,IF($I745&lt;&gt;0,$K$2,IF($J745&lt;&gt;0,$K$2,"")))))))</f>
        <v>1</v>
      </c>
      <c r="L614" s="494"/>
    </row>
    <row r="615" spans="2:12" ht="18">
      <c r="B615" s="2210" t="str">
        <f>$B$9</f>
        <v>КОМИСИЯ ЗА РЕГУЛИРАНЕ НА СЪОБЩЕНИЯТА</v>
      </c>
      <c r="C615" s="2211"/>
      <c r="D615" s="2212"/>
      <c r="E615" s="1066">
        <f>$E$9</f>
        <v>43101</v>
      </c>
      <c r="F615" s="1152">
        <f>$F$9</f>
        <v>43190</v>
      </c>
      <c r="G615" s="775"/>
      <c r="H615" s="775"/>
      <c r="I615" s="775"/>
      <c r="J615" s="775"/>
      <c r="K615" s="1525">
        <f>(IF($E745&lt;&gt;0,$K$2,IF($F745&lt;&gt;0,$K$2,IF($G745&lt;&gt;0,$K$2,IF($H745&lt;&gt;0,$K$2,IF($I745&lt;&gt;0,$K$2,IF($J745&lt;&gt;0,$K$2,"")))))))</f>
        <v>1</v>
      </c>
      <c r="L615" s="494"/>
    </row>
    <row r="616" spans="2:12" ht="15">
      <c r="B616" s="1153" t="str">
        <f>$B$10</f>
        <v>                                                            (наименование на разпоредителя с бюджет)</v>
      </c>
      <c r="C616" s="774"/>
      <c r="D616" s="1124"/>
      <c r="E616" s="1154"/>
      <c r="F616" s="1154"/>
      <c r="G616" s="775"/>
      <c r="H616" s="775"/>
      <c r="I616" s="775"/>
      <c r="J616" s="775"/>
      <c r="K616" s="1525">
        <f>(IF($E745&lt;&gt;0,$K$2,IF($F745&lt;&gt;0,$K$2,IF($G745&lt;&gt;0,$K$2,IF($H745&lt;&gt;0,$K$2,IF($I745&lt;&gt;0,$K$2,IF($J745&lt;&gt;0,$K$2,"")))))))</f>
        <v>1</v>
      </c>
      <c r="L616" s="494"/>
    </row>
    <row r="617" spans="2:12" ht="15">
      <c r="B617" s="1153"/>
      <c r="C617" s="774"/>
      <c r="D617" s="1124"/>
      <c r="E617" s="1153"/>
      <c r="F617" s="774"/>
      <c r="G617" s="775"/>
      <c r="H617" s="775"/>
      <c r="I617" s="775"/>
      <c r="J617" s="775"/>
      <c r="K617" s="1525">
        <f>(IF($E745&lt;&gt;0,$K$2,IF($F745&lt;&gt;0,$K$2,IF($G745&lt;&gt;0,$K$2,IF($H745&lt;&gt;0,$K$2,IF($I745&lt;&gt;0,$K$2,IF($J745&lt;&gt;0,$K$2,"")))))))</f>
        <v>1</v>
      </c>
      <c r="L617" s="494"/>
    </row>
    <row r="618" spans="2:12" ht="18">
      <c r="B618" s="2213" t="str">
        <f>$B$12</f>
        <v>Комисия за регулиране на съобщенията</v>
      </c>
      <c r="C618" s="2214"/>
      <c r="D618" s="2215"/>
      <c r="E618" s="1155" t="s">
        <v>1249</v>
      </c>
      <c r="F618" s="1901" t="str">
        <f>$F$12</f>
        <v>4300</v>
      </c>
      <c r="G618" s="1156"/>
      <c r="H618" s="775"/>
      <c r="I618" s="775"/>
      <c r="J618" s="775"/>
      <c r="K618" s="1525">
        <f>(IF($E745&lt;&gt;0,$K$2,IF($F745&lt;&gt;0,$K$2,IF($G745&lt;&gt;0,$K$2,IF($H745&lt;&gt;0,$K$2,IF($I745&lt;&gt;0,$K$2,IF($J745&lt;&gt;0,$K$2,"")))))))</f>
        <v>1</v>
      </c>
      <c r="L618" s="494"/>
    </row>
    <row r="619" spans="2:12" ht="15.75">
      <c r="B619" s="1157" t="str">
        <f>$B$13</f>
        <v>                                             (наименование на първостепенния разпоредител с бюджет)</v>
      </c>
      <c r="C619" s="774"/>
      <c r="D619" s="1124"/>
      <c r="E619" s="1158"/>
      <c r="F619" s="1159"/>
      <c r="G619" s="775"/>
      <c r="H619" s="775"/>
      <c r="I619" s="775"/>
      <c r="J619" s="775"/>
      <c r="K619" s="1525">
        <f>(IF($E745&lt;&gt;0,$K$2,IF($F745&lt;&gt;0,$K$2,IF($G745&lt;&gt;0,$K$2,IF($H745&lt;&gt;0,$K$2,IF($I745&lt;&gt;0,$K$2,IF($J745&lt;&gt;0,$K$2,"")))))))</f>
        <v>1</v>
      </c>
      <c r="L619" s="494"/>
    </row>
    <row r="620" spans="2:12" ht="18">
      <c r="B620" s="1160"/>
      <c r="C620" s="775"/>
      <c r="D620" s="1161" t="s">
        <v>1424</v>
      </c>
      <c r="E620" s="1162">
        <f>$E$15</f>
        <v>0</v>
      </c>
      <c r="F620" s="1501" t="str">
        <f>$F$15</f>
        <v>БЮДЖЕТ</v>
      </c>
      <c r="G620" s="775"/>
      <c r="H620" s="1163"/>
      <c r="I620" s="775"/>
      <c r="J620" s="1163"/>
      <c r="K620" s="1525">
        <f>(IF($E745&lt;&gt;0,$K$2,IF($F745&lt;&gt;0,$K$2,IF($G745&lt;&gt;0,$K$2,IF($H745&lt;&gt;0,$K$2,IF($I745&lt;&gt;0,$K$2,IF($J745&lt;&gt;0,$K$2,"")))))))</f>
        <v>1</v>
      </c>
      <c r="L620" s="494"/>
    </row>
    <row r="621" spans="2:12" ht="16.5" thickBot="1">
      <c r="B621" s="774"/>
      <c r="C621" s="1121"/>
      <c r="D621" s="1147"/>
      <c r="E621" s="1159"/>
      <c r="F621" s="1164"/>
      <c r="G621" s="1165"/>
      <c r="H621" s="1165"/>
      <c r="I621" s="1165"/>
      <c r="J621" s="1166" t="s">
        <v>986</v>
      </c>
      <c r="K621" s="1525">
        <f>(IF($E745&lt;&gt;0,$K$2,IF($F745&lt;&gt;0,$K$2,IF($G745&lt;&gt;0,$K$2,IF($H745&lt;&gt;0,$K$2,IF($I745&lt;&gt;0,$K$2,IF($J745&lt;&gt;0,$K$2,"")))))))</f>
        <v>1</v>
      </c>
      <c r="L621" s="494"/>
    </row>
    <row r="622" spans="2:12" ht="16.5">
      <c r="B622" s="1167"/>
      <c r="C622" s="1168"/>
      <c r="D622" s="1169" t="s">
        <v>1358</v>
      </c>
      <c r="E622" s="1170" t="s">
        <v>988</v>
      </c>
      <c r="F622" s="475" t="s">
        <v>1264</v>
      </c>
      <c r="G622" s="1171"/>
      <c r="H622" s="1172"/>
      <c r="I622" s="1171"/>
      <c r="J622" s="1173"/>
      <c r="K622" s="1525">
        <f>(IF($E745&lt;&gt;0,$K$2,IF($F745&lt;&gt;0,$K$2,IF($G745&lt;&gt;0,$K$2,IF($H745&lt;&gt;0,$K$2,IF($I745&lt;&gt;0,$K$2,IF($J745&lt;&gt;0,$K$2,"")))))))</f>
        <v>1</v>
      </c>
      <c r="L622" s="494"/>
    </row>
    <row r="623" spans="2:12" ht="55.5" customHeight="1">
      <c r="B623" s="1174" t="s">
        <v>937</v>
      </c>
      <c r="C623" s="1175" t="s">
        <v>990</v>
      </c>
      <c r="D623" s="1176" t="s">
        <v>1359</v>
      </c>
      <c r="E623" s="1177">
        <f>$C$3</f>
        <v>2018</v>
      </c>
      <c r="F623" s="476" t="s">
        <v>1262</v>
      </c>
      <c r="G623" s="1178" t="s">
        <v>1261</v>
      </c>
      <c r="H623" s="1179" t="s">
        <v>1352</v>
      </c>
      <c r="I623" s="1180" t="s">
        <v>1250</v>
      </c>
      <c r="J623" s="1181" t="s">
        <v>1251</v>
      </c>
      <c r="K623" s="1525">
        <f>(IF($E745&lt;&gt;0,$K$2,IF($F745&lt;&gt;0,$K$2,IF($G745&lt;&gt;0,$K$2,IF($H745&lt;&gt;0,$K$2,IF($I745&lt;&gt;0,$K$2,IF($J745&lt;&gt;0,$K$2,"")))))))</f>
        <v>1</v>
      </c>
      <c r="L623" s="494"/>
    </row>
    <row r="624" spans="2:12" ht="69" customHeight="1">
      <c r="B624" s="1182"/>
      <c r="C624" s="1183"/>
      <c r="D624" s="1184" t="s">
        <v>757</v>
      </c>
      <c r="E624" s="456" t="s">
        <v>604</v>
      </c>
      <c r="F624" s="456" t="s">
        <v>605</v>
      </c>
      <c r="G624" s="769" t="s">
        <v>1365</v>
      </c>
      <c r="H624" s="770" t="s">
        <v>1366</v>
      </c>
      <c r="I624" s="770" t="s">
        <v>1339</v>
      </c>
      <c r="J624" s="771" t="s">
        <v>1232</v>
      </c>
      <c r="K624" s="1525">
        <f>(IF($E745&lt;&gt;0,$K$2,IF($F745&lt;&gt;0,$K$2,IF($G745&lt;&gt;0,$K$2,IF($H745&lt;&gt;0,$K$2,IF($I745&lt;&gt;0,$K$2,IF($J745&lt;&gt;0,$K$2,"")))))))</f>
        <v>1</v>
      </c>
      <c r="L624" s="494"/>
    </row>
    <row r="625" spans="2:12" ht="15.75">
      <c r="B625" s="1185"/>
      <c r="C625" s="1952">
        <v>0</v>
      </c>
      <c r="D625" s="1521" t="s">
        <v>543</v>
      </c>
      <c r="E625" s="386"/>
      <c r="F625" s="772"/>
      <c r="G625" s="1186"/>
      <c r="H625" s="778"/>
      <c r="I625" s="778"/>
      <c r="J625" s="779"/>
      <c r="K625" s="1525">
        <f>(IF($E745&lt;&gt;0,$K$2,IF($F745&lt;&gt;0,$K$2,IF($G745&lt;&gt;0,$K$2,IF($H745&lt;&gt;0,$K$2,IF($I745&lt;&gt;0,$K$2,IF($J745&lt;&gt;0,$K$2,"")))))))</f>
        <v>1</v>
      </c>
      <c r="L625" s="494"/>
    </row>
    <row r="626" spans="2:12" ht="15.75">
      <c r="B626" s="1187"/>
      <c r="C626" s="1953">
        <f>VLOOKUP(D627,EBK_DEIN2,2,FALSE)</f>
        <v>8838</v>
      </c>
      <c r="D626" s="1522" t="s">
        <v>1216</v>
      </c>
      <c r="E626" s="772"/>
      <c r="F626" s="772"/>
      <c r="G626" s="1188"/>
      <c r="H626" s="780"/>
      <c r="I626" s="780"/>
      <c r="J626" s="781"/>
      <c r="K626" s="1525">
        <f>(IF($E745&lt;&gt;0,$K$2,IF($F745&lt;&gt;0,$K$2,IF($G745&lt;&gt;0,$K$2,IF($H745&lt;&gt;0,$K$2,IF($I745&lt;&gt;0,$K$2,IF($J745&lt;&gt;0,$K$2,"")))))))</f>
        <v>1</v>
      </c>
      <c r="L626" s="494"/>
    </row>
    <row r="627" spans="2:12" ht="15.75">
      <c r="B627" s="1189"/>
      <c r="C627" s="1954">
        <f>+C626</f>
        <v>8838</v>
      </c>
      <c r="D627" s="1520" t="s">
        <v>1775</v>
      </c>
      <c r="E627" s="772"/>
      <c r="F627" s="772"/>
      <c r="G627" s="1188"/>
      <c r="H627" s="780"/>
      <c r="I627" s="780"/>
      <c r="J627" s="781"/>
      <c r="K627" s="1525">
        <f>(IF($E745&lt;&gt;0,$K$2,IF($F745&lt;&gt;0,$K$2,IF($G745&lt;&gt;0,$K$2,IF($H745&lt;&gt;0,$K$2,IF($I745&lt;&gt;0,$K$2,IF($J745&lt;&gt;0,$K$2,"")))))))</f>
        <v>1</v>
      </c>
      <c r="L627" s="494"/>
    </row>
    <row r="628" spans="2:12" ht="15">
      <c r="B628" s="1190"/>
      <c r="C628" s="1191"/>
      <c r="D628" s="1192" t="s">
        <v>1360</v>
      </c>
      <c r="E628" s="772"/>
      <c r="F628" s="772"/>
      <c r="G628" s="1193"/>
      <c r="H628" s="782"/>
      <c r="I628" s="782"/>
      <c r="J628" s="783"/>
      <c r="K628" s="1525">
        <f>(IF($E745&lt;&gt;0,$K$2,IF($F745&lt;&gt;0,$K$2,IF($G745&lt;&gt;0,$K$2,IF($H745&lt;&gt;0,$K$2,IF($I745&lt;&gt;0,$K$2,IF($J745&lt;&gt;0,$K$2,"")))))))</f>
        <v>1</v>
      </c>
      <c r="L628" s="494"/>
    </row>
    <row r="629" spans="2:12" ht="15.75">
      <c r="B629" s="1194">
        <v>100</v>
      </c>
      <c r="C629" s="2229" t="s">
        <v>758</v>
      </c>
      <c r="D629" s="2223"/>
      <c r="E629" s="461">
        <f aca="true" t="shared" si="125" ref="E629:J629">SUM(E630:E631)</f>
        <v>4465000</v>
      </c>
      <c r="F629" s="462">
        <f t="shared" si="125"/>
        <v>1014708</v>
      </c>
      <c r="G629" s="575">
        <f t="shared" si="125"/>
        <v>899651</v>
      </c>
      <c r="H629" s="576">
        <f t="shared" si="125"/>
        <v>0</v>
      </c>
      <c r="I629" s="576">
        <f t="shared" si="125"/>
        <v>0</v>
      </c>
      <c r="J629" s="577">
        <f t="shared" si="125"/>
        <v>115057</v>
      </c>
      <c r="K629" s="1523">
        <f>(IF($E629&lt;&gt;0,$K$2,IF($F629&lt;&gt;0,$K$2,IF($G629&lt;&gt;0,$K$2,IF($H629&lt;&gt;0,$K$2,IF($I629&lt;&gt;0,$K$2,IF($J629&lt;&gt;0,$K$2,"")))))))</f>
        <v>1</v>
      </c>
      <c r="L629" s="495"/>
    </row>
    <row r="630" spans="2:12" ht="15.75">
      <c r="B630" s="1195"/>
      <c r="C630" s="1196">
        <v>101</v>
      </c>
      <c r="D630" s="1197" t="s">
        <v>759</v>
      </c>
      <c r="E630" s="619">
        <v>724000</v>
      </c>
      <c r="F630" s="628">
        <f>G630+H630+I630+J630</f>
        <v>191149</v>
      </c>
      <c r="G630" s="542">
        <v>156270</v>
      </c>
      <c r="H630" s="543"/>
      <c r="I630" s="543"/>
      <c r="J630" s="544">
        <v>34879</v>
      </c>
      <c r="K630" s="1523">
        <f aca="true" t="shared" si="126" ref="K630:K697">(IF($E630&lt;&gt;0,$K$2,IF($F630&lt;&gt;0,$K$2,IF($G630&lt;&gt;0,$K$2,IF($H630&lt;&gt;0,$K$2,IF($I630&lt;&gt;0,$K$2,IF($J630&lt;&gt;0,$K$2,"")))))))</f>
        <v>1</v>
      </c>
      <c r="L630" s="495"/>
    </row>
    <row r="631" spans="1:12" ht="36" customHeight="1">
      <c r="A631" s="305"/>
      <c r="B631" s="1195"/>
      <c r="C631" s="1198">
        <v>102</v>
      </c>
      <c r="D631" s="1199" t="s">
        <v>760</v>
      </c>
      <c r="E631" s="625">
        <v>3741000</v>
      </c>
      <c r="F631" s="629">
        <f>G631+H631+I631+J631</f>
        <v>823559</v>
      </c>
      <c r="G631" s="554">
        <v>743381</v>
      </c>
      <c r="H631" s="555"/>
      <c r="I631" s="555"/>
      <c r="J631" s="556">
        <v>80178</v>
      </c>
      <c r="K631" s="1523">
        <f t="shared" si="126"/>
        <v>1</v>
      </c>
      <c r="L631" s="495"/>
    </row>
    <row r="632" spans="1:12" ht="15.75">
      <c r="A632" s="305"/>
      <c r="B632" s="1194">
        <v>200</v>
      </c>
      <c r="C632" s="2225" t="s">
        <v>761</v>
      </c>
      <c r="D632" s="2225"/>
      <c r="E632" s="461">
        <f aca="true" t="shared" si="127" ref="E632:J632">SUM(E633:E637)</f>
        <v>372000</v>
      </c>
      <c r="F632" s="462">
        <f t="shared" si="127"/>
        <v>62138</v>
      </c>
      <c r="G632" s="575">
        <f t="shared" si="127"/>
        <v>60028</v>
      </c>
      <c r="H632" s="576">
        <f t="shared" si="127"/>
        <v>0</v>
      </c>
      <c r="I632" s="576">
        <f t="shared" si="127"/>
        <v>0</v>
      </c>
      <c r="J632" s="577">
        <f t="shared" si="127"/>
        <v>2110</v>
      </c>
      <c r="K632" s="1523">
        <f t="shared" si="126"/>
        <v>1</v>
      </c>
      <c r="L632" s="495"/>
    </row>
    <row r="633" spans="1:12" ht="15.75">
      <c r="A633" s="305"/>
      <c r="B633" s="1200"/>
      <c r="C633" s="1196">
        <v>201</v>
      </c>
      <c r="D633" s="1197" t="s">
        <v>762</v>
      </c>
      <c r="E633" s="619">
        <v>40000</v>
      </c>
      <c r="F633" s="628">
        <f>G633+H633+I633+J633</f>
        <v>9418</v>
      </c>
      <c r="G633" s="542">
        <v>7308</v>
      </c>
      <c r="H633" s="543"/>
      <c r="I633" s="543"/>
      <c r="J633" s="544">
        <v>2110</v>
      </c>
      <c r="K633" s="1523">
        <f t="shared" si="126"/>
        <v>1</v>
      </c>
      <c r="L633" s="495"/>
    </row>
    <row r="634" spans="1:12" ht="15.75">
      <c r="A634" s="305"/>
      <c r="B634" s="1201"/>
      <c r="C634" s="1202">
        <v>202</v>
      </c>
      <c r="D634" s="1203" t="s">
        <v>763</v>
      </c>
      <c r="E634" s="621">
        <v>2000</v>
      </c>
      <c r="F634" s="630">
        <f>G634+H634+I634+J634</f>
        <v>0</v>
      </c>
      <c r="G634" s="545"/>
      <c r="H634" s="546"/>
      <c r="I634" s="546"/>
      <c r="J634" s="547"/>
      <c r="K634" s="1523">
        <f t="shared" si="126"/>
        <v>1</v>
      </c>
      <c r="L634" s="495"/>
    </row>
    <row r="635" spans="1:12" ht="31.5">
      <c r="A635" s="305"/>
      <c r="B635" s="1204"/>
      <c r="C635" s="1202">
        <v>205</v>
      </c>
      <c r="D635" s="1203" t="s">
        <v>832</v>
      </c>
      <c r="E635" s="621">
        <v>100000</v>
      </c>
      <c r="F635" s="630">
        <f>G635+H635+I635+J635</f>
        <v>0</v>
      </c>
      <c r="G635" s="545"/>
      <c r="H635" s="546"/>
      <c r="I635" s="546"/>
      <c r="J635" s="547"/>
      <c r="K635" s="1523">
        <f t="shared" si="126"/>
        <v>1</v>
      </c>
      <c r="L635" s="495"/>
    </row>
    <row r="636" spans="1:12" ht="15.75">
      <c r="A636" s="305"/>
      <c r="B636" s="1204"/>
      <c r="C636" s="1202">
        <v>208</v>
      </c>
      <c r="D636" s="1205" t="s">
        <v>833</v>
      </c>
      <c r="E636" s="621">
        <v>200000</v>
      </c>
      <c r="F636" s="630">
        <f>G636+H636+I636+J636</f>
        <v>42148</v>
      </c>
      <c r="G636" s="545">
        <v>42148</v>
      </c>
      <c r="H636" s="546"/>
      <c r="I636" s="546"/>
      <c r="J636" s="547"/>
      <c r="K636" s="1523">
        <f t="shared" si="126"/>
        <v>1</v>
      </c>
      <c r="L636" s="495"/>
    </row>
    <row r="637" spans="1:12" ht="15.75">
      <c r="A637" s="305"/>
      <c r="B637" s="1200"/>
      <c r="C637" s="1198">
        <v>209</v>
      </c>
      <c r="D637" s="1206" t="s">
        <v>834</v>
      </c>
      <c r="E637" s="625">
        <v>30000</v>
      </c>
      <c r="F637" s="629">
        <f>G637+H637+I637+J637</f>
        <v>10572</v>
      </c>
      <c r="G637" s="554">
        <v>10572</v>
      </c>
      <c r="H637" s="555"/>
      <c r="I637" s="555"/>
      <c r="J637" s="556"/>
      <c r="K637" s="1523">
        <f t="shared" si="126"/>
        <v>1</v>
      </c>
      <c r="L637" s="495"/>
    </row>
    <row r="638" spans="1:12" ht="15.75">
      <c r="A638" s="305"/>
      <c r="B638" s="1194">
        <v>500</v>
      </c>
      <c r="C638" s="2226" t="s">
        <v>835</v>
      </c>
      <c r="D638" s="2226"/>
      <c r="E638" s="461">
        <f aca="true" t="shared" si="128" ref="E638:J638">SUM(E639:E645)</f>
        <v>1193000</v>
      </c>
      <c r="F638" s="462">
        <f t="shared" si="128"/>
        <v>281928</v>
      </c>
      <c r="G638" s="575">
        <f t="shared" si="128"/>
        <v>0</v>
      </c>
      <c r="H638" s="576">
        <f t="shared" si="128"/>
        <v>0</v>
      </c>
      <c r="I638" s="576">
        <f t="shared" si="128"/>
        <v>0</v>
      </c>
      <c r="J638" s="577">
        <f t="shared" si="128"/>
        <v>281928</v>
      </c>
      <c r="K638" s="1523">
        <f t="shared" si="126"/>
        <v>1</v>
      </c>
      <c r="L638" s="495"/>
    </row>
    <row r="639" spans="1:12" ht="31.5">
      <c r="A639" s="5"/>
      <c r="B639" s="1200"/>
      <c r="C639" s="1207">
        <v>551</v>
      </c>
      <c r="D639" s="1208" t="s">
        <v>836</v>
      </c>
      <c r="E639" s="619">
        <v>733000</v>
      </c>
      <c r="F639" s="628">
        <f aca="true" t="shared" si="129" ref="F639:F646">G639+H639+I639+J639</f>
        <v>175600</v>
      </c>
      <c r="G639" s="1484">
        <v>0</v>
      </c>
      <c r="H639" s="1485">
        <v>0</v>
      </c>
      <c r="I639" s="1485">
        <v>0</v>
      </c>
      <c r="J639" s="544">
        <v>175600</v>
      </c>
      <c r="K639" s="1523">
        <f t="shared" si="126"/>
        <v>1</v>
      </c>
      <c r="L639" s="495"/>
    </row>
    <row r="640" spans="1:12" ht="15.75">
      <c r="A640" s="305"/>
      <c r="B640" s="1200"/>
      <c r="C640" s="1209">
        <f>C639+1</f>
        <v>552</v>
      </c>
      <c r="D640" s="1210" t="s">
        <v>837</v>
      </c>
      <c r="E640" s="621"/>
      <c r="F640" s="630">
        <f t="shared" si="129"/>
        <v>0</v>
      </c>
      <c r="G640" s="1486">
        <v>0</v>
      </c>
      <c r="H640" s="1487">
        <v>0</v>
      </c>
      <c r="I640" s="1487">
        <v>0</v>
      </c>
      <c r="J640" s="547"/>
      <c r="K640" s="1523">
        <f t="shared" si="126"/>
      </c>
      <c r="L640" s="495"/>
    </row>
    <row r="641" spans="1:12" ht="15.75">
      <c r="A641" s="5"/>
      <c r="B641" s="1211"/>
      <c r="C641" s="1209">
        <v>558</v>
      </c>
      <c r="D641" s="1212" t="s">
        <v>1438</v>
      </c>
      <c r="E641" s="621"/>
      <c r="F641" s="630">
        <f>G641+H641+I641+J641</f>
        <v>0</v>
      </c>
      <c r="G641" s="1486">
        <v>0</v>
      </c>
      <c r="H641" s="1487">
        <v>0</v>
      </c>
      <c r="I641" s="1487">
        <v>0</v>
      </c>
      <c r="J641" s="750">
        <v>0</v>
      </c>
      <c r="K641" s="1523">
        <f t="shared" si="126"/>
      </c>
      <c r="L641" s="495"/>
    </row>
    <row r="642" spans="1:12" ht="15.75">
      <c r="A642" s="305"/>
      <c r="B642" s="1211"/>
      <c r="C642" s="1209">
        <v>560</v>
      </c>
      <c r="D642" s="1212" t="s">
        <v>838</v>
      </c>
      <c r="E642" s="621">
        <v>290000</v>
      </c>
      <c r="F642" s="630">
        <f t="shared" si="129"/>
        <v>69494</v>
      </c>
      <c r="G642" s="1486">
        <v>0</v>
      </c>
      <c r="H642" s="1487">
        <v>0</v>
      </c>
      <c r="I642" s="1487">
        <v>0</v>
      </c>
      <c r="J642" s="547">
        <v>69494</v>
      </c>
      <c r="K642" s="1523">
        <f t="shared" si="126"/>
        <v>1</v>
      </c>
      <c r="L642" s="495"/>
    </row>
    <row r="643" spans="1:12" ht="15.75">
      <c r="A643" s="414"/>
      <c r="B643" s="1211"/>
      <c r="C643" s="1209">
        <v>580</v>
      </c>
      <c r="D643" s="1210" t="s">
        <v>839</v>
      </c>
      <c r="E643" s="621">
        <v>170000</v>
      </c>
      <c r="F643" s="630">
        <f t="shared" si="129"/>
        <v>36834</v>
      </c>
      <c r="G643" s="1486">
        <v>0</v>
      </c>
      <c r="H643" s="1487">
        <v>0</v>
      </c>
      <c r="I643" s="1487">
        <v>0</v>
      </c>
      <c r="J643" s="547">
        <v>36834</v>
      </c>
      <c r="K643" s="1523">
        <f t="shared" si="126"/>
        <v>1</v>
      </c>
      <c r="L643" s="495"/>
    </row>
    <row r="644" spans="1:12" ht="31.5">
      <c r="A644" s="5"/>
      <c r="B644" s="1200"/>
      <c r="C644" s="1202">
        <v>588</v>
      </c>
      <c r="D644" s="1205" t="s">
        <v>1442</v>
      </c>
      <c r="E644" s="621"/>
      <c r="F644" s="630">
        <f>G644+H644+I644+J644</f>
        <v>0</v>
      </c>
      <c r="G644" s="1486">
        <v>0</v>
      </c>
      <c r="H644" s="1487">
        <v>0</v>
      </c>
      <c r="I644" s="1487">
        <v>0</v>
      </c>
      <c r="J644" s="750">
        <v>0</v>
      </c>
      <c r="K644" s="1523">
        <f t="shared" si="126"/>
      </c>
      <c r="L644" s="495"/>
    </row>
    <row r="645" spans="1:12" ht="31.5">
      <c r="A645" s="5"/>
      <c r="B645" s="1200"/>
      <c r="C645" s="1213">
        <v>590</v>
      </c>
      <c r="D645" s="1214" t="s">
        <v>840</v>
      </c>
      <c r="E645" s="625"/>
      <c r="F645" s="629">
        <f t="shared" si="129"/>
        <v>0</v>
      </c>
      <c r="G645" s="554"/>
      <c r="H645" s="555"/>
      <c r="I645" s="555"/>
      <c r="J645" s="556"/>
      <c r="K645" s="1523">
        <f t="shared" si="126"/>
      </c>
      <c r="L645" s="495"/>
    </row>
    <row r="646" spans="1:12" ht="15.75">
      <c r="A646" s="5"/>
      <c r="B646" s="1194">
        <v>800</v>
      </c>
      <c r="C646" s="2227" t="s">
        <v>1361</v>
      </c>
      <c r="D646" s="2228"/>
      <c r="E646" s="1504"/>
      <c r="F646" s="464">
        <f t="shared" si="129"/>
        <v>0</v>
      </c>
      <c r="G646" s="1308"/>
      <c r="H646" s="1309"/>
      <c r="I646" s="1309"/>
      <c r="J646" s="1310"/>
      <c r="K646" s="1523">
        <f t="shared" si="126"/>
      </c>
      <c r="L646" s="495"/>
    </row>
    <row r="647" spans="1:12" ht="15.75">
      <c r="A647" s="8">
        <v>5</v>
      </c>
      <c r="B647" s="1194">
        <v>1000</v>
      </c>
      <c r="C647" s="2225" t="s">
        <v>842</v>
      </c>
      <c r="D647" s="2225"/>
      <c r="E647" s="463">
        <f aca="true" t="shared" si="130" ref="E647:J647">SUM(E648:E664)</f>
        <v>2026200</v>
      </c>
      <c r="F647" s="464">
        <f t="shared" si="130"/>
        <v>197075</v>
      </c>
      <c r="G647" s="575">
        <f t="shared" si="130"/>
        <v>161273</v>
      </c>
      <c r="H647" s="576">
        <f t="shared" si="130"/>
        <v>0</v>
      </c>
      <c r="I647" s="576">
        <f t="shared" si="130"/>
        <v>35802</v>
      </c>
      <c r="J647" s="577">
        <f t="shared" si="130"/>
        <v>0</v>
      </c>
      <c r="K647" s="1523">
        <f t="shared" si="126"/>
        <v>1</v>
      </c>
      <c r="L647" s="495"/>
    </row>
    <row r="648" spans="1:12" ht="15.75">
      <c r="A648" s="9">
        <v>10</v>
      </c>
      <c r="B648" s="1201"/>
      <c r="C648" s="1196">
        <v>1011</v>
      </c>
      <c r="D648" s="1215" t="s">
        <v>843</v>
      </c>
      <c r="E648" s="619"/>
      <c r="F648" s="628">
        <f aca="true" t="shared" si="131" ref="F648:F664">G648+H648+I648+J648</f>
        <v>0</v>
      </c>
      <c r="G648" s="542"/>
      <c r="H648" s="543"/>
      <c r="I648" s="543"/>
      <c r="J648" s="544"/>
      <c r="K648" s="1523">
        <f t="shared" si="126"/>
      </c>
      <c r="L648" s="495"/>
    </row>
    <row r="649" spans="1:12" ht="15.75">
      <c r="A649" s="9">
        <v>15</v>
      </c>
      <c r="B649" s="1201"/>
      <c r="C649" s="1202">
        <v>1012</v>
      </c>
      <c r="D649" s="1203" t="s">
        <v>844</v>
      </c>
      <c r="E649" s="621"/>
      <c r="F649" s="630">
        <f t="shared" si="131"/>
        <v>0</v>
      </c>
      <c r="G649" s="545"/>
      <c r="H649" s="546"/>
      <c r="I649" s="546"/>
      <c r="J649" s="547"/>
      <c r="K649" s="1523">
        <f t="shared" si="126"/>
      </c>
      <c r="L649" s="495"/>
    </row>
    <row r="650" spans="1:12" ht="15.75">
      <c r="A650" s="8">
        <v>35</v>
      </c>
      <c r="B650" s="1201"/>
      <c r="C650" s="1202">
        <v>1013</v>
      </c>
      <c r="D650" s="1203" t="s">
        <v>845</v>
      </c>
      <c r="E650" s="621"/>
      <c r="F650" s="630">
        <f t="shared" si="131"/>
        <v>0</v>
      </c>
      <c r="G650" s="545"/>
      <c r="H650" s="546"/>
      <c r="I650" s="546"/>
      <c r="J650" s="547"/>
      <c r="K650" s="1523">
        <f t="shared" si="126"/>
      </c>
      <c r="L650" s="495"/>
    </row>
    <row r="651" spans="1:12" ht="15.75">
      <c r="A651" s="9">
        <v>40</v>
      </c>
      <c r="B651" s="1201"/>
      <c r="C651" s="1202">
        <v>1014</v>
      </c>
      <c r="D651" s="1203" t="s">
        <v>846</v>
      </c>
      <c r="E651" s="621">
        <v>5000</v>
      </c>
      <c r="F651" s="630">
        <f t="shared" si="131"/>
        <v>0</v>
      </c>
      <c r="G651" s="545"/>
      <c r="H651" s="546"/>
      <c r="I651" s="546"/>
      <c r="J651" s="547"/>
      <c r="K651" s="1523">
        <f t="shared" si="126"/>
        <v>1</v>
      </c>
      <c r="L651" s="495"/>
    </row>
    <row r="652" spans="1:12" ht="15.75">
      <c r="A652" s="9">
        <v>45</v>
      </c>
      <c r="B652" s="1201"/>
      <c r="C652" s="1202">
        <v>1015</v>
      </c>
      <c r="D652" s="1203" t="s">
        <v>847</v>
      </c>
      <c r="E652" s="621">
        <v>160000</v>
      </c>
      <c r="F652" s="630">
        <f t="shared" si="131"/>
        <v>14642</v>
      </c>
      <c r="G652" s="545">
        <v>10841</v>
      </c>
      <c r="H652" s="546"/>
      <c r="I652" s="546">
        <v>3801</v>
      </c>
      <c r="J652" s="547"/>
      <c r="K652" s="1523">
        <f t="shared" si="126"/>
        <v>1</v>
      </c>
      <c r="L652" s="495"/>
    </row>
    <row r="653" spans="1:12" ht="15.75">
      <c r="A653" s="9">
        <v>50</v>
      </c>
      <c r="B653" s="1201"/>
      <c r="C653" s="1216">
        <v>1016</v>
      </c>
      <c r="D653" s="1217" t="s">
        <v>848</v>
      </c>
      <c r="E653" s="623">
        <v>180000</v>
      </c>
      <c r="F653" s="631">
        <f t="shared" si="131"/>
        <v>44424</v>
      </c>
      <c r="G653" s="609">
        <v>44424</v>
      </c>
      <c r="H653" s="610"/>
      <c r="I653" s="610"/>
      <c r="J653" s="611"/>
      <c r="K653" s="1523">
        <f t="shared" si="126"/>
        <v>1</v>
      </c>
      <c r="L653" s="495"/>
    </row>
    <row r="654" spans="1:12" ht="15.75">
      <c r="A654" s="9">
        <v>55</v>
      </c>
      <c r="B654" s="1195"/>
      <c r="C654" s="1218">
        <v>1020</v>
      </c>
      <c r="D654" s="1219" t="s">
        <v>849</v>
      </c>
      <c r="E654" s="1505">
        <v>1217000</v>
      </c>
      <c r="F654" s="633">
        <f t="shared" si="131"/>
        <v>96086</v>
      </c>
      <c r="G654" s="551">
        <v>91751</v>
      </c>
      <c r="H654" s="552"/>
      <c r="I654" s="552">
        <v>4335</v>
      </c>
      <c r="J654" s="553"/>
      <c r="K654" s="1523">
        <f t="shared" si="126"/>
        <v>1</v>
      </c>
      <c r="L654" s="495"/>
    </row>
    <row r="655" spans="1:12" ht="15.75">
      <c r="A655" s="9">
        <v>60</v>
      </c>
      <c r="B655" s="1201"/>
      <c r="C655" s="1220">
        <v>1030</v>
      </c>
      <c r="D655" s="1221" t="s">
        <v>850</v>
      </c>
      <c r="E655" s="1506">
        <v>100000</v>
      </c>
      <c r="F655" s="635">
        <f t="shared" si="131"/>
        <v>7743</v>
      </c>
      <c r="G655" s="548">
        <v>5829</v>
      </c>
      <c r="H655" s="549"/>
      <c r="I655" s="549">
        <v>1914</v>
      </c>
      <c r="J655" s="550"/>
      <c r="K655" s="1523">
        <f t="shared" si="126"/>
        <v>1</v>
      </c>
      <c r="L655" s="495"/>
    </row>
    <row r="656" spans="1:12" ht="15.75">
      <c r="A656" s="8">
        <v>65</v>
      </c>
      <c r="B656" s="1201"/>
      <c r="C656" s="1218">
        <v>1051</v>
      </c>
      <c r="D656" s="1222" t="s">
        <v>851</v>
      </c>
      <c r="E656" s="1505">
        <v>160000</v>
      </c>
      <c r="F656" s="633">
        <f t="shared" si="131"/>
        <v>16089</v>
      </c>
      <c r="G656" s="551">
        <v>212</v>
      </c>
      <c r="H656" s="552"/>
      <c r="I656" s="552">
        <v>15877</v>
      </c>
      <c r="J656" s="553"/>
      <c r="K656" s="1523">
        <f t="shared" si="126"/>
        <v>1</v>
      </c>
      <c r="L656" s="495"/>
    </row>
    <row r="657" spans="1:12" ht="15.75">
      <c r="A657" s="9">
        <v>70</v>
      </c>
      <c r="B657" s="1201"/>
      <c r="C657" s="1202">
        <v>1052</v>
      </c>
      <c r="D657" s="1203" t="s">
        <v>852</v>
      </c>
      <c r="E657" s="621">
        <v>150000</v>
      </c>
      <c r="F657" s="630">
        <f t="shared" si="131"/>
        <v>17836</v>
      </c>
      <c r="G657" s="545">
        <v>7968</v>
      </c>
      <c r="H657" s="546"/>
      <c r="I657" s="546">
        <v>9868</v>
      </c>
      <c r="J657" s="547"/>
      <c r="K657" s="1523">
        <f t="shared" si="126"/>
        <v>1</v>
      </c>
      <c r="L657" s="495"/>
    </row>
    <row r="658" spans="1:12" ht="15.75">
      <c r="A658" s="9">
        <v>75</v>
      </c>
      <c r="B658" s="1201"/>
      <c r="C658" s="1220">
        <v>1053</v>
      </c>
      <c r="D658" s="1221" t="s">
        <v>1268</v>
      </c>
      <c r="E658" s="1506"/>
      <c r="F658" s="635">
        <f t="shared" si="131"/>
        <v>0</v>
      </c>
      <c r="G658" s="548"/>
      <c r="H658" s="549"/>
      <c r="I658" s="549"/>
      <c r="J658" s="550"/>
      <c r="K658" s="1523">
        <f t="shared" si="126"/>
      </c>
      <c r="L658" s="495"/>
    </row>
    <row r="659" spans="1:12" ht="15.75">
      <c r="A659" s="9">
        <v>80</v>
      </c>
      <c r="B659" s="1201"/>
      <c r="C659" s="1218">
        <v>1062</v>
      </c>
      <c r="D659" s="1219" t="s">
        <v>853</v>
      </c>
      <c r="E659" s="1505">
        <v>40000</v>
      </c>
      <c r="F659" s="633">
        <f t="shared" si="131"/>
        <v>34</v>
      </c>
      <c r="G659" s="551">
        <v>34</v>
      </c>
      <c r="H659" s="552"/>
      <c r="I659" s="552"/>
      <c r="J659" s="553"/>
      <c r="K659" s="1523">
        <f t="shared" si="126"/>
        <v>1</v>
      </c>
      <c r="L659" s="495"/>
    </row>
    <row r="660" spans="1:12" ht="15.75">
      <c r="A660" s="9">
        <v>80</v>
      </c>
      <c r="B660" s="1201"/>
      <c r="C660" s="1220">
        <v>1063</v>
      </c>
      <c r="D660" s="1223" t="s">
        <v>1226</v>
      </c>
      <c r="E660" s="1506"/>
      <c r="F660" s="635">
        <f t="shared" si="131"/>
        <v>0</v>
      </c>
      <c r="G660" s="548"/>
      <c r="H660" s="549"/>
      <c r="I660" s="549"/>
      <c r="J660" s="550"/>
      <c r="K660" s="1523">
        <f t="shared" si="126"/>
      </c>
      <c r="L660" s="495"/>
    </row>
    <row r="661" spans="1:12" ht="15.75">
      <c r="A661" s="9">
        <v>85</v>
      </c>
      <c r="B661" s="1201"/>
      <c r="C661" s="1224">
        <v>1069</v>
      </c>
      <c r="D661" s="1225" t="s">
        <v>854</v>
      </c>
      <c r="E661" s="1507">
        <v>2000</v>
      </c>
      <c r="F661" s="637">
        <f t="shared" si="131"/>
        <v>214</v>
      </c>
      <c r="G661" s="734">
        <v>207</v>
      </c>
      <c r="H661" s="735"/>
      <c r="I661" s="735">
        <v>7</v>
      </c>
      <c r="J661" s="699"/>
      <c r="K661" s="1523">
        <f t="shared" si="126"/>
        <v>1</v>
      </c>
      <c r="L661" s="495"/>
    </row>
    <row r="662" spans="1:12" ht="15.75">
      <c r="A662" s="9">
        <v>90</v>
      </c>
      <c r="B662" s="1195"/>
      <c r="C662" s="1218">
        <v>1091</v>
      </c>
      <c r="D662" s="1222" t="s">
        <v>1596</v>
      </c>
      <c r="E662" s="1505">
        <v>7200</v>
      </c>
      <c r="F662" s="633">
        <f t="shared" si="131"/>
        <v>0</v>
      </c>
      <c r="G662" s="551"/>
      <c r="H662" s="552"/>
      <c r="I662" s="552"/>
      <c r="J662" s="553"/>
      <c r="K662" s="1523">
        <f t="shared" si="126"/>
        <v>1</v>
      </c>
      <c r="L662" s="495"/>
    </row>
    <row r="663" spans="1:12" ht="15.75">
      <c r="A663" s="9">
        <v>90</v>
      </c>
      <c r="B663" s="1201"/>
      <c r="C663" s="1202">
        <v>1092</v>
      </c>
      <c r="D663" s="1203" t="s">
        <v>1032</v>
      </c>
      <c r="E663" s="621">
        <v>5000</v>
      </c>
      <c r="F663" s="630">
        <f t="shared" si="131"/>
        <v>7</v>
      </c>
      <c r="G663" s="545">
        <v>7</v>
      </c>
      <c r="H663" s="546"/>
      <c r="I663" s="546"/>
      <c r="J663" s="547"/>
      <c r="K663" s="1523">
        <f t="shared" si="126"/>
        <v>1</v>
      </c>
      <c r="L663" s="495"/>
    </row>
    <row r="664" spans="1:12" ht="15.75">
      <c r="A664" s="8">
        <v>115</v>
      </c>
      <c r="B664" s="1201"/>
      <c r="C664" s="1198">
        <v>1098</v>
      </c>
      <c r="D664" s="1226" t="s">
        <v>855</v>
      </c>
      <c r="E664" s="625"/>
      <c r="F664" s="629">
        <f t="shared" si="131"/>
        <v>0</v>
      </c>
      <c r="G664" s="554"/>
      <c r="H664" s="555"/>
      <c r="I664" s="555"/>
      <c r="J664" s="556"/>
      <c r="K664" s="1523">
        <f t="shared" si="126"/>
      </c>
      <c r="L664" s="495"/>
    </row>
    <row r="665" spans="1:12" ht="15.75">
      <c r="A665" s="8">
        <v>125</v>
      </c>
      <c r="B665" s="1194">
        <v>1900</v>
      </c>
      <c r="C665" s="2217" t="s">
        <v>2006</v>
      </c>
      <c r="D665" s="2217"/>
      <c r="E665" s="463">
        <f aca="true" t="shared" si="132" ref="E665:J665">SUM(E666:E668)</f>
        <v>50000</v>
      </c>
      <c r="F665" s="464">
        <f t="shared" si="132"/>
        <v>39739</v>
      </c>
      <c r="G665" s="575">
        <f t="shared" si="132"/>
        <v>32121</v>
      </c>
      <c r="H665" s="576">
        <f t="shared" si="132"/>
        <v>0</v>
      </c>
      <c r="I665" s="576">
        <f t="shared" si="132"/>
        <v>7618</v>
      </c>
      <c r="J665" s="577">
        <f t="shared" si="132"/>
        <v>0</v>
      </c>
      <c r="K665" s="1523">
        <f t="shared" si="126"/>
        <v>1</v>
      </c>
      <c r="L665" s="495"/>
    </row>
    <row r="666" spans="1:12" ht="31.5">
      <c r="A666" s="9">
        <v>130</v>
      </c>
      <c r="B666" s="1201"/>
      <c r="C666" s="1196">
        <v>1901</v>
      </c>
      <c r="D666" s="1227" t="s">
        <v>2007</v>
      </c>
      <c r="E666" s="619">
        <v>5000</v>
      </c>
      <c r="F666" s="628">
        <f>G666+H666+I666+J666</f>
        <v>3131</v>
      </c>
      <c r="G666" s="542"/>
      <c r="H666" s="543"/>
      <c r="I666" s="543">
        <v>3131</v>
      </c>
      <c r="J666" s="544"/>
      <c r="K666" s="1523">
        <f t="shared" si="126"/>
        <v>1</v>
      </c>
      <c r="L666" s="495"/>
    </row>
    <row r="667" spans="1:12" ht="31.5">
      <c r="A667" s="9">
        <v>135</v>
      </c>
      <c r="B667" s="1228"/>
      <c r="C667" s="1202">
        <v>1981</v>
      </c>
      <c r="D667" s="1229" t="s">
        <v>2008</v>
      </c>
      <c r="E667" s="621">
        <v>45000</v>
      </c>
      <c r="F667" s="630">
        <f>G667+H667+I667+J667</f>
        <v>36608</v>
      </c>
      <c r="G667" s="545">
        <v>32121</v>
      </c>
      <c r="H667" s="546"/>
      <c r="I667" s="546">
        <v>4487</v>
      </c>
      <c r="J667" s="547"/>
      <c r="K667" s="1523">
        <f t="shared" si="126"/>
        <v>1</v>
      </c>
      <c r="L667" s="495"/>
    </row>
    <row r="668" spans="1:12" ht="31.5">
      <c r="A668" s="9">
        <v>140</v>
      </c>
      <c r="B668" s="1201"/>
      <c r="C668" s="1198">
        <v>1991</v>
      </c>
      <c r="D668" s="1230" t="s">
        <v>2009</v>
      </c>
      <c r="E668" s="625"/>
      <c r="F668" s="629">
        <f>G668+H668+I668+J668</f>
        <v>0</v>
      </c>
      <c r="G668" s="554"/>
      <c r="H668" s="555"/>
      <c r="I668" s="555"/>
      <c r="J668" s="556"/>
      <c r="K668" s="1523">
        <f t="shared" si="126"/>
      </c>
      <c r="L668" s="495"/>
    </row>
    <row r="669" spans="1:12" ht="15.75">
      <c r="A669" s="9">
        <v>145</v>
      </c>
      <c r="B669" s="1194">
        <v>2100</v>
      </c>
      <c r="C669" s="2217" t="s">
        <v>1016</v>
      </c>
      <c r="D669" s="2217"/>
      <c r="E669" s="463">
        <f aca="true" t="shared" si="133" ref="E669:J669">SUM(E670:E674)</f>
        <v>0</v>
      </c>
      <c r="F669" s="464">
        <f t="shared" si="133"/>
        <v>0</v>
      </c>
      <c r="G669" s="575">
        <f t="shared" si="133"/>
        <v>0</v>
      </c>
      <c r="H669" s="576">
        <f t="shared" si="133"/>
        <v>0</v>
      </c>
      <c r="I669" s="576">
        <f t="shared" si="133"/>
        <v>0</v>
      </c>
      <c r="J669" s="577">
        <f t="shared" si="133"/>
        <v>0</v>
      </c>
      <c r="K669" s="1523">
        <f t="shared" si="126"/>
      </c>
      <c r="L669" s="495"/>
    </row>
    <row r="670" spans="1:12" ht="15.75">
      <c r="A670" s="9">
        <v>150</v>
      </c>
      <c r="B670" s="1201"/>
      <c r="C670" s="1196">
        <v>2110</v>
      </c>
      <c r="D670" s="1231" t="s">
        <v>856</v>
      </c>
      <c r="E670" s="619"/>
      <c r="F670" s="628">
        <f>G670+H670+I670+J670</f>
        <v>0</v>
      </c>
      <c r="G670" s="542"/>
      <c r="H670" s="543"/>
      <c r="I670" s="543"/>
      <c r="J670" s="544"/>
      <c r="K670" s="1523">
        <f t="shared" si="126"/>
      </c>
      <c r="L670" s="495"/>
    </row>
    <row r="671" spans="1:12" ht="15.75">
      <c r="A671" s="9">
        <v>155</v>
      </c>
      <c r="B671" s="1228"/>
      <c r="C671" s="1202">
        <v>2120</v>
      </c>
      <c r="D671" s="1205" t="s">
        <v>857</v>
      </c>
      <c r="E671" s="621"/>
      <c r="F671" s="630">
        <f>G671+H671+I671+J671</f>
        <v>0</v>
      </c>
      <c r="G671" s="545"/>
      <c r="H671" s="546"/>
      <c r="I671" s="546"/>
      <c r="J671" s="547"/>
      <c r="K671" s="1523">
        <f t="shared" si="126"/>
      </c>
      <c r="L671" s="495"/>
    </row>
    <row r="672" spans="1:12" ht="15.75">
      <c r="A672" s="9">
        <v>160</v>
      </c>
      <c r="B672" s="1228"/>
      <c r="C672" s="1202">
        <v>2125</v>
      </c>
      <c r="D672" s="1205" t="s">
        <v>1362</v>
      </c>
      <c r="E672" s="621"/>
      <c r="F672" s="630">
        <f>G672+H672+I672+J672</f>
        <v>0</v>
      </c>
      <c r="G672" s="545"/>
      <c r="H672" s="546"/>
      <c r="I672" s="1487">
        <v>0</v>
      </c>
      <c r="J672" s="547"/>
      <c r="K672" s="1523">
        <f t="shared" si="126"/>
      </c>
      <c r="L672" s="495"/>
    </row>
    <row r="673" spans="1:12" ht="15.75">
      <c r="A673" s="9">
        <v>165</v>
      </c>
      <c r="B673" s="1200"/>
      <c r="C673" s="1202">
        <v>2140</v>
      </c>
      <c r="D673" s="1205" t="s">
        <v>859</v>
      </c>
      <c r="E673" s="621"/>
      <c r="F673" s="630">
        <f>G673+H673+I673+J673</f>
        <v>0</v>
      </c>
      <c r="G673" s="545"/>
      <c r="H673" s="546"/>
      <c r="I673" s="1487">
        <v>0</v>
      </c>
      <c r="J673" s="547"/>
      <c r="K673" s="1523">
        <f t="shared" si="126"/>
      </c>
      <c r="L673" s="495"/>
    </row>
    <row r="674" spans="1:12" ht="15.75">
      <c r="A674" s="9">
        <v>175</v>
      </c>
      <c r="B674" s="1201"/>
      <c r="C674" s="1198">
        <v>2190</v>
      </c>
      <c r="D674" s="1232" t="s">
        <v>860</v>
      </c>
      <c r="E674" s="625"/>
      <c r="F674" s="629">
        <f>G674+H674+I674+J674</f>
        <v>0</v>
      </c>
      <c r="G674" s="554"/>
      <c r="H674" s="555"/>
      <c r="I674" s="1489">
        <v>0</v>
      </c>
      <c r="J674" s="556"/>
      <c r="K674" s="1523">
        <f t="shared" si="126"/>
      </c>
      <c r="L674" s="495"/>
    </row>
    <row r="675" spans="1:12" ht="15.75">
      <c r="A675" s="9">
        <v>180</v>
      </c>
      <c r="B675" s="1194">
        <v>2200</v>
      </c>
      <c r="C675" s="2217" t="s">
        <v>861</v>
      </c>
      <c r="D675" s="2217"/>
      <c r="E675" s="463">
        <f aca="true" t="shared" si="134" ref="E675:J675">SUM(E676:E677)</f>
        <v>0</v>
      </c>
      <c r="F675" s="464">
        <f t="shared" si="134"/>
        <v>0</v>
      </c>
      <c r="G675" s="575">
        <f t="shared" si="134"/>
        <v>0</v>
      </c>
      <c r="H675" s="576">
        <f t="shared" si="134"/>
        <v>0</v>
      </c>
      <c r="I675" s="576">
        <f t="shared" si="134"/>
        <v>0</v>
      </c>
      <c r="J675" s="577">
        <f t="shared" si="134"/>
        <v>0</v>
      </c>
      <c r="K675" s="1523">
        <f t="shared" si="126"/>
      </c>
      <c r="L675" s="495"/>
    </row>
    <row r="676" spans="1:12" ht="15.75">
      <c r="A676" s="9">
        <v>185</v>
      </c>
      <c r="B676" s="1201"/>
      <c r="C676" s="1196">
        <v>2221</v>
      </c>
      <c r="D676" s="1197" t="s">
        <v>1209</v>
      </c>
      <c r="E676" s="619"/>
      <c r="F676" s="628">
        <f aca="true" t="shared" si="135" ref="F676:F681">G676+H676+I676+J676</f>
        <v>0</v>
      </c>
      <c r="G676" s="542"/>
      <c r="H676" s="543"/>
      <c r="I676" s="543"/>
      <c r="J676" s="544"/>
      <c r="K676" s="1523">
        <f t="shared" si="126"/>
      </c>
      <c r="L676" s="495"/>
    </row>
    <row r="677" spans="1:12" ht="15.75">
      <c r="A677" s="9">
        <v>190</v>
      </c>
      <c r="B677" s="1201"/>
      <c r="C677" s="1198">
        <v>2224</v>
      </c>
      <c r="D677" s="1199" t="s">
        <v>862</v>
      </c>
      <c r="E677" s="625"/>
      <c r="F677" s="629">
        <f t="shared" si="135"/>
        <v>0</v>
      </c>
      <c r="G677" s="554"/>
      <c r="H677" s="555"/>
      <c r="I677" s="555"/>
      <c r="J677" s="556"/>
      <c r="K677" s="1523">
        <f t="shared" si="126"/>
      </c>
      <c r="L677" s="495"/>
    </row>
    <row r="678" spans="1:12" ht="15.75">
      <c r="A678" s="9">
        <v>200</v>
      </c>
      <c r="B678" s="1194">
        <v>2500</v>
      </c>
      <c r="C678" s="2217" t="s">
        <v>863</v>
      </c>
      <c r="D678" s="2224"/>
      <c r="E678" s="1504"/>
      <c r="F678" s="464">
        <f t="shared" si="135"/>
        <v>0</v>
      </c>
      <c r="G678" s="1308"/>
      <c r="H678" s="1309"/>
      <c r="I678" s="1309"/>
      <c r="J678" s="1310"/>
      <c r="K678" s="1523">
        <f t="shared" si="126"/>
      </c>
      <c r="L678" s="495"/>
    </row>
    <row r="679" spans="1:12" ht="15.75">
      <c r="A679" s="9">
        <v>200</v>
      </c>
      <c r="B679" s="1194">
        <v>2600</v>
      </c>
      <c r="C679" s="2222" t="s">
        <v>864</v>
      </c>
      <c r="D679" s="2223"/>
      <c r="E679" s="1504"/>
      <c r="F679" s="464">
        <f t="shared" si="135"/>
        <v>0</v>
      </c>
      <c r="G679" s="1308"/>
      <c r="H679" s="1309"/>
      <c r="I679" s="1309"/>
      <c r="J679" s="1310"/>
      <c r="K679" s="1523">
        <f t="shared" si="126"/>
      </c>
      <c r="L679" s="495"/>
    </row>
    <row r="680" spans="1:12" ht="15.75">
      <c r="A680" s="9">
        <v>205</v>
      </c>
      <c r="B680" s="1194">
        <v>2700</v>
      </c>
      <c r="C680" s="2222" t="s">
        <v>865</v>
      </c>
      <c r="D680" s="2223"/>
      <c r="E680" s="1504"/>
      <c r="F680" s="464">
        <f t="shared" si="135"/>
        <v>0</v>
      </c>
      <c r="G680" s="1308"/>
      <c r="H680" s="1309"/>
      <c r="I680" s="1309"/>
      <c r="J680" s="1310"/>
      <c r="K680" s="1523">
        <f t="shared" si="126"/>
      </c>
      <c r="L680" s="495"/>
    </row>
    <row r="681" spans="1:12" ht="15.75">
      <c r="A681" s="9">
        <v>210</v>
      </c>
      <c r="B681" s="1194">
        <v>2800</v>
      </c>
      <c r="C681" s="2222" t="s">
        <v>143</v>
      </c>
      <c r="D681" s="2223"/>
      <c r="E681" s="1504"/>
      <c r="F681" s="464">
        <f t="shared" si="135"/>
        <v>0</v>
      </c>
      <c r="G681" s="1308"/>
      <c r="H681" s="1309"/>
      <c r="I681" s="1309"/>
      <c r="J681" s="1310"/>
      <c r="K681" s="1523">
        <f t="shared" si="126"/>
      </c>
      <c r="L681" s="495"/>
    </row>
    <row r="682" spans="1:12" ht="36" customHeight="1">
      <c r="A682" s="9">
        <v>215</v>
      </c>
      <c r="B682" s="1194">
        <v>2900</v>
      </c>
      <c r="C682" s="2217" t="s">
        <v>866</v>
      </c>
      <c r="D682" s="2217"/>
      <c r="E682" s="463">
        <f aca="true" t="shared" si="136" ref="E682:J682">SUM(E683:E690)</f>
        <v>0</v>
      </c>
      <c r="F682" s="464">
        <f t="shared" si="136"/>
        <v>0</v>
      </c>
      <c r="G682" s="575">
        <f t="shared" si="136"/>
        <v>0</v>
      </c>
      <c r="H682" s="576">
        <f t="shared" si="136"/>
        <v>0</v>
      </c>
      <c r="I682" s="576">
        <f t="shared" si="136"/>
        <v>0</v>
      </c>
      <c r="J682" s="577">
        <f t="shared" si="136"/>
        <v>0</v>
      </c>
      <c r="K682" s="1523">
        <f t="shared" si="126"/>
      </c>
      <c r="L682" s="495"/>
    </row>
    <row r="683" spans="1:12" ht="15.75">
      <c r="A683" s="8">
        <v>220</v>
      </c>
      <c r="B683" s="1233"/>
      <c r="C683" s="1196">
        <v>2910</v>
      </c>
      <c r="D683" s="1234" t="s">
        <v>2110</v>
      </c>
      <c r="E683" s="619"/>
      <c r="F683" s="628">
        <f aca="true" t="shared" si="137" ref="F683:F690">G683+H683+I683+J683</f>
        <v>0</v>
      </c>
      <c r="G683" s="542"/>
      <c r="H683" s="543"/>
      <c r="I683" s="543"/>
      <c r="J683" s="544"/>
      <c r="K683" s="1523">
        <f t="shared" si="126"/>
      </c>
      <c r="L683" s="495"/>
    </row>
    <row r="684" spans="1:12" ht="15.75">
      <c r="A684" s="9">
        <v>225</v>
      </c>
      <c r="B684" s="1233"/>
      <c r="C684" s="1220">
        <v>2920</v>
      </c>
      <c r="D684" s="1235" t="s">
        <v>2109</v>
      </c>
      <c r="E684" s="1506"/>
      <c r="F684" s="635">
        <f>G684+H684+I684+J684</f>
        <v>0</v>
      </c>
      <c r="G684" s="548"/>
      <c r="H684" s="549"/>
      <c r="I684" s="549"/>
      <c r="J684" s="550"/>
      <c r="K684" s="1523">
        <f t="shared" si="126"/>
      </c>
      <c r="L684" s="495"/>
    </row>
    <row r="685" spans="1:12" ht="31.5">
      <c r="A685" s="9">
        <v>230</v>
      </c>
      <c r="B685" s="1233"/>
      <c r="C685" s="1220">
        <v>2969</v>
      </c>
      <c r="D685" s="1235" t="s">
        <v>867</v>
      </c>
      <c r="E685" s="1506"/>
      <c r="F685" s="635">
        <f t="shared" si="137"/>
        <v>0</v>
      </c>
      <c r="G685" s="548"/>
      <c r="H685" s="549"/>
      <c r="I685" s="549"/>
      <c r="J685" s="550"/>
      <c r="K685" s="1523">
        <f t="shared" si="126"/>
      </c>
      <c r="L685" s="495"/>
    </row>
    <row r="686" spans="1:12" ht="31.5">
      <c r="A686" s="9">
        <v>245</v>
      </c>
      <c r="B686" s="1233"/>
      <c r="C686" s="1236">
        <v>2970</v>
      </c>
      <c r="D686" s="1237" t="s">
        <v>868</v>
      </c>
      <c r="E686" s="1508"/>
      <c r="F686" s="639">
        <f t="shared" si="137"/>
        <v>0</v>
      </c>
      <c r="G686" s="742"/>
      <c r="H686" s="743"/>
      <c r="I686" s="743"/>
      <c r="J686" s="718"/>
      <c r="K686" s="1523">
        <f t="shared" si="126"/>
      </c>
      <c r="L686" s="495"/>
    </row>
    <row r="687" spans="1:12" ht="15.75">
      <c r="A687" s="8">
        <v>220</v>
      </c>
      <c r="B687" s="1233"/>
      <c r="C687" s="1224">
        <v>2989</v>
      </c>
      <c r="D687" s="1238" t="s">
        <v>869</v>
      </c>
      <c r="E687" s="1507"/>
      <c r="F687" s="637">
        <f t="shared" si="137"/>
        <v>0</v>
      </c>
      <c r="G687" s="734"/>
      <c r="H687" s="735"/>
      <c r="I687" s="735"/>
      <c r="J687" s="699"/>
      <c r="K687" s="1523">
        <f t="shared" si="126"/>
      </c>
      <c r="L687" s="495"/>
    </row>
    <row r="688" spans="1:12" ht="31.5">
      <c r="A688" s="9">
        <v>225</v>
      </c>
      <c r="B688" s="1201"/>
      <c r="C688" s="1218">
        <v>2990</v>
      </c>
      <c r="D688" s="1239" t="s">
        <v>2111</v>
      </c>
      <c r="E688" s="1505"/>
      <c r="F688" s="633">
        <f>G688+H688+I688+J688</f>
        <v>0</v>
      </c>
      <c r="G688" s="551"/>
      <c r="H688" s="552"/>
      <c r="I688" s="552"/>
      <c r="J688" s="553"/>
      <c r="K688" s="1523">
        <f t="shared" si="126"/>
      </c>
      <c r="L688" s="495"/>
    </row>
    <row r="689" spans="1:12" ht="15.75">
      <c r="A689" s="9">
        <v>230</v>
      </c>
      <c r="B689" s="1201"/>
      <c r="C689" s="1218">
        <v>2991</v>
      </c>
      <c r="D689" s="1239" t="s">
        <v>870</v>
      </c>
      <c r="E689" s="1505"/>
      <c r="F689" s="633">
        <f t="shared" si="137"/>
        <v>0</v>
      </c>
      <c r="G689" s="551"/>
      <c r="H689" s="552"/>
      <c r="I689" s="552"/>
      <c r="J689" s="553"/>
      <c r="K689" s="1523">
        <f t="shared" si="126"/>
      </c>
      <c r="L689" s="495"/>
    </row>
    <row r="690" spans="1:12" ht="15.75">
      <c r="A690" s="9">
        <v>235</v>
      </c>
      <c r="B690" s="1201"/>
      <c r="C690" s="1198">
        <v>2992</v>
      </c>
      <c r="D690" s="1240" t="s">
        <v>871</v>
      </c>
      <c r="E690" s="625"/>
      <c r="F690" s="629">
        <f t="shared" si="137"/>
        <v>0</v>
      </c>
      <c r="G690" s="554"/>
      <c r="H690" s="555"/>
      <c r="I690" s="555"/>
      <c r="J690" s="556"/>
      <c r="K690" s="1523">
        <f t="shared" si="126"/>
      </c>
      <c r="L690" s="495"/>
    </row>
    <row r="691" spans="1:12" ht="15.75">
      <c r="A691" s="9">
        <v>240</v>
      </c>
      <c r="B691" s="1194">
        <v>3300</v>
      </c>
      <c r="C691" s="1241" t="s">
        <v>872</v>
      </c>
      <c r="D691" s="1358"/>
      <c r="E691" s="463">
        <f aca="true" t="shared" si="138" ref="E691:J691">SUM(E692:E697)</f>
        <v>0</v>
      </c>
      <c r="F691" s="464">
        <f t="shared" si="138"/>
        <v>0</v>
      </c>
      <c r="G691" s="575">
        <f t="shared" si="138"/>
        <v>0</v>
      </c>
      <c r="H691" s="576">
        <f t="shared" si="138"/>
        <v>0</v>
      </c>
      <c r="I691" s="576">
        <f t="shared" si="138"/>
        <v>0</v>
      </c>
      <c r="J691" s="577">
        <f t="shared" si="138"/>
        <v>0</v>
      </c>
      <c r="K691" s="1523">
        <f t="shared" si="126"/>
      </c>
      <c r="L691" s="495"/>
    </row>
    <row r="692" spans="1:12" ht="15.75">
      <c r="A692" s="9">
        <v>245</v>
      </c>
      <c r="B692" s="1200"/>
      <c r="C692" s="1196">
        <v>3301</v>
      </c>
      <c r="D692" s="1242" t="s">
        <v>873</v>
      </c>
      <c r="E692" s="619"/>
      <c r="F692" s="628">
        <f aca="true" t="shared" si="139" ref="F692:F700">G692+H692+I692+J692</f>
        <v>0</v>
      </c>
      <c r="G692" s="542"/>
      <c r="H692" s="543"/>
      <c r="I692" s="1485">
        <v>0</v>
      </c>
      <c r="J692" s="749">
        <v>0</v>
      </c>
      <c r="K692" s="1523">
        <f t="shared" si="126"/>
      </c>
      <c r="L692" s="495"/>
    </row>
    <row r="693" spans="1:12" ht="15.75">
      <c r="A693" s="8">
        <v>250</v>
      </c>
      <c r="B693" s="1200"/>
      <c r="C693" s="1202">
        <v>3302</v>
      </c>
      <c r="D693" s="1243" t="s">
        <v>1363</v>
      </c>
      <c r="E693" s="621"/>
      <c r="F693" s="630">
        <f t="shared" si="139"/>
        <v>0</v>
      </c>
      <c r="G693" s="545"/>
      <c r="H693" s="546"/>
      <c r="I693" s="1487">
        <v>0</v>
      </c>
      <c r="J693" s="750">
        <v>0</v>
      </c>
      <c r="K693" s="1523">
        <f t="shared" si="126"/>
      </c>
      <c r="L693" s="495"/>
    </row>
    <row r="694" spans="1:12" ht="15.75">
      <c r="A694" s="9">
        <v>255</v>
      </c>
      <c r="B694" s="1200"/>
      <c r="C694" s="1202">
        <v>3303</v>
      </c>
      <c r="D694" s="1243" t="s">
        <v>874</v>
      </c>
      <c r="E694" s="621"/>
      <c r="F694" s="630">
        <f t="shared" si="139"/>
        <v>0</v>
      </c>
      <c r="G694" s="545"/>
      <c r="H694" s="546"/>
      <c r="I694" s="1487">
        <v>0</v>
      </c>
      <c r="J694" s="750">
        <v>0</v>
      </c>
      <c r="K694" s="1523">
        <f t="shared" si="126"/>
      </c>
      <c r="L694" s="495"/>
    </row>
    <row r="695" spans="1:12" ht="15.75">
      <c r="A695" s="9">
        <v>265</v>
      </c>
      <c r="B695" s="1200"/>
      <c r="C695" s="1202">
        <v>3304</v>
      </c>
      <c r="D695" s="1243" t="s">
        <v>875</v>
      </c>
      <c r="E695" s="621"/>
      <c r="F695" s="630">
        <f t="shared" si="139"/>
        <v>0</v>
      </c>
      <c r="G695" s="545"/>
      <c r="H695" s="546"/>
      <c r="I695" s="1487">
        <v>0</v>
      </c>
      <c r="J695" s="750">
        <v>0</v>
      </c>
      <c r="K695" s="1523">
        <f t="shared" si="126"/>
      </c>
      <c r="L695" s="495"/>
    </row>
    <row r="696" spans="1:12" ht="30">
      <c r="A696" s="8">
        <v>270</v>
      </c>
      <c r="B696" s="1200"/>
      <c r="C696" s="1202">
        <v>3305</v>
      </c>
      <c r="D696" s="1243" t="s">
        <v>876</v>
      </c>
      <c r="E696" s="621"/>
      <c r="F696" s="630">
        <f t="shared" si="139"/>
        <v>0</v>
      </c>
      <c r="G696" s="545"/>
      <c r="H696" s="546"/>
      <c r="I696" s="1487">
        <v>0</v>
      </c>
      <c r="J696" s="750">
        <v>0</v>
      </c>
      <c r="K696" s="1523">
        <f t="shared" si="126"/>
      </c>
      <c r="L696" s="495"/>
    </row>
    <row r="697" spans="1:12" ht="30">
      <c r="A697" s="8">
        <v>290</v>
      </c>
      <c r="B697" s="1200"/>
      <c r="C697" s="1198">
        <v>3306</v>
      </c>
      <c r="D697" s="1244" t="s">
        <v>144</v>
      </c>
      <c r="E697" s="625"/>
      <c r="F697" s="629">
        <f t="shared" si="139"/>
        <v>0</v>
      </c>
      <c r="G697" s="554"/>
      <c r="H697" s="555"/>
      <c r="I697" s="1489">
        <v>0</v>
      </c>
      <c r="J697" s="1494">
        <v>0</v>
      </c>
      <c r="K697" s="1523">
        <f t="shared" si="126"/>
      </c>
      <c r="L697" s="495"/>
    </row>
    <row r="698" spans="1:12" ht="15.75">
      <c r="A698" s="17">
        <v>320</v>
      </c>
      <c r="B698" s="1194">
        <v>3900</v>
      </c>
      <c r="C698" s="2217" t="s">
        <v>877</v>
      </c>
      <c r="D698" s="2217"/>
      <c r="E698" s="1504"/>
      <c r="F698" s="464">
        <f t="shared" si="139"/>
        <v>0</v>
      </c>
      <c r="G698" s="1308"/>
      <c r="H698" s="1309"/>
      <c r="I698" s="1309"/>
      <c r="J698" s="1310"/>
      <c r="K698" s="1523">
        <f aca="true" t="shared" si="140" ref="K698:K745">(IF($E698&lt;&gt;0,$K$2,IF($F698&lt;&gt;0,$K$2,IF($G698&lt;&gt;0,$K$2,IF($H698&lt;&gt;0,$K$2,IF($I698&lt;&gt;0,$K$2,IF($J698&lt;&gt;0,$K$2,"")))))))</f>
      </c>
      <c r="L698" s="495"/>
    </row>
    <row r="699" spans="1:12" ht="15.75">
      <c r="A699" s="8">
        <v>330</v>
      </c>
      <c r="B699" s="1194">
        <v>4000</v>
      </c>
      <c r="C699" s="2217" t="s">
        <v>878</v>
      </c>
      <c r="D699" s="2217"/>
      <c r="E699" s="1504"/>
      <c r="F699" s="464">
        <f t="shared" si="139"/>
        <v>0</v>
      </c>
      <c r="G699" s="1308"/>
      <c r="H699" s="1309"/>
      <c r="I699" s="1309"/>
      <c r="J699" s="1310"/>
      <c r="K699" s="1523">
        <f t="shared" si="140"/>
      </c>
      <c r="L699" s="495"/>
    </row>
    <row r="700" spans="1:12" ht="15.75">
      <c r="A700" s="8">
        <v>350</v>
      </c>
      <c r="B700" s="1194">
        <v>4100</v>
      </c>
      <c r="C700" s="2217" t="s">
        <v>879</v>
      </c>
      <c r="D700" s="2217"/>
      <c r="E700" s="1504"/>
      <c r="F700" s="464">
        <f t="shared" si="139"/>
        <v>0</v>
      </c>
      <c r="G700" s="1308"/>
      <c r="H700" s="1309"/>
      <c r="I700" s="1309"/>
      <c r="J700" s="1310"/>
      <c r="K700" s="1523">
        <f t="shared" si="140"/>
      </c>
      <c r="L700" s="495"/>
    </row>
    <row r="701" spans="1:12" ht="15.75">
      <c r="A701" s="9">
        <v>355</v>
      </c>
      <c r="B701" s="1194">
        <v>4200</v>
      </c>
      <c r="C701" s="2217" t="s">
        <v>880</v>
      </c>
      <c r="D701" s="2217"/>
      <c r="E701" s="463">
        <f aca="true" t="shared" si="141" ref="E701:J701">SUM(E702:E707)</f>
        <v>0</v>
      </c>
      <c r="F701" s="464">
        <f t="shared" si="141"/>
        <v>0</v>
      </c>
      <c r="G701" s="575">
        <f t="shared" si="141"/>
        <v>0</v>
      </c>
      <c r="H701" s="576">
        <f t="shared" si="141"/>
        <v>0</v>
      </c>
      <c r="I701" s="576">
        <f t="shared" si="141"/>
        <v>0</v>
      </c>
      <c r="J701" s="577">
        <f t="shared" si="141"/>
        <v>0</v>
      </c>
      <c r="K701" s="1523">
        <f t="shared" si="140"/>
      </c>
      <c r="L701" s="495"/>
    </row>
    <row r="702" spans="1:12" ht="15.75">
      <c r="A702" s="9">
        <v>375</v>
      </c>
      <c r="B702" s="1245"/>
      <c r="C702" s="1196">
        <v>4201</v>
      </c>
      <c r="D702" s="1197" t="s">
        <v>1269</v>
      </c>
      <c r="E702" s="619"/>
      <c r="F702" s="628">
        <f aca="true" t="shared" si="142" ref="F702:F707">G702+H702+I702+J702</f>
        <v>0</v>
      </c>
      <c r="G702" s="542"/>
      <c r="H702" s="543"/>
      <c r="I702" s="543"/>
      <c r="J702" s="544"/>
      <c r="K702" s="1523">
        <f t="shared" si="140"/>
      </c>
      <c r="L702" s="495"/>
    </row>
    <row r="703" spans="1:12" ht="15.75">
      <c r="A703" s="9">
        <v>375</v>
      </c>
      <c r="B703" s="1245"/>
      <c r="C703" s="1202">
        <v>4202</v>
      </c>
      <c r="D703" s="1246" t="s">
        <v>1270</v>
      </c>
      <c r="E703" s="621"/>
      <c r="F703" s="630">
        <f t="shared" si="142"/>
        <v>0</v>
      </c>
      <c r="G703" s="545"/>
      <c r="H703" s="546"/>
      <c r="I703" s="546"/>
      <c r="J703" s="547"/>
      <c r="K703" s="1523">
        <f t="shared" si="140"/>
      </c>
      <c r="L703" s="495"/>
    </row>
    <row r="704" spans="1:12" ht="15.75">
      <c r="A704" s="9">
        <v>380</v>
      </c>
      <c r="B704" s="1245"/>
      <c r="C704" s="1202">
        <v>4214</v>
      </c>
      <c r="D704" s="1246" t="s">
        <v>1271</v>
      </c>
      <c r="E704" s="621"/>
      <c r="F704" s="630">
        <f t="shared" si="142"/>
        <v>0</v>
      </c>
      <c r="G704" s="545"/>
      <c r="H704" s="546"/>
      <c r="I704" s="546"/>
      <c r="J704" s="547"/>
      <c r="K704" s="1523">
        <f t="shared" si="140"/>
      </c>
      <c r="L704" s="495"/>
    </row>
    <row r="705" spans="1:12" ht="15.75">
      <c r="A705" s="9">
        <v>385</v>
      </c>
      <c r="B705" s="1245"/>
      <c r="C705" s="1202">
        <v>4217</v>
      </c>
      <c r="D705" s="1246" t="s">
        <v>1272</v>
      </c>
      <c r="E705" s="621"/>
      <c r="F705" s="630">
        <f t="shared" si="142"/>
        <v>0</v>
      </c>
      <c r="G705" s="545"/>
      <c r="H705" s="546"/>
      <c r="I705" s="546"/>
      <c r="J705" s="547"/>
      <c r="K705" s="1523">
        <f t="shared" si="140"/>
      </c>
      <c r="L705" s="495"/>
    </row>
    <row r="706" spans="1:12" ht="31.5">
      <c r="A706" s="9">
        <v>390</v>
      </c>
      <c r="B706" s="1245"/>
      <c r="C706" s="1202">
        <v>4218</v>
      </c>
      <c r="D706" s="1203" t="s">
        <v>1273</v>
      </c>
      <c r="E706" s="621"/>
      <c r="F706" s="630">
        <f t="shared" si="142"/>
        <v>0</v>
      </c>
      <c r="G706" s="545"/>
      <c r="H706" s="546"/>
      <c r="I706" s="546"/>
      <c r="J706" s="547"/>
      <c r="K706" s="1523">
        <f t="shared" si="140"/>
      </c>
      <c r="L706" s="495"/>
    </row>
    <row r="707" spans="1:12" ht="15.75">
      <c r="A707" s="9">
        <v>390</v>
      </c>
      <c r="B707" s="1245"/>
      <c r="C707" s="1198">
        <v>4219</v>
      </c>
      <c r="D707" s="1230" t="s">
        <v>1274</v>
      </c>
      <c r="E707" s="625"/>
      <c r="F707" s="629">
        <f t="shared" si="142"/>
        <v>0</v>
      </c>
      <c r="G707" s="554"/>
      <c r="H707" s="555"/>
      <c r="I707" s="555"/>
      <c r="J707" s="556"/>
      <c r="K707" s="1523">
        <f t="shared" si="140"/>
      </c>
      <c r="L707" s="495"/>
    </row>
    <row r="708" spans="1:12" ht="15.75">
      <c r="A708" s="9">
        <v>395</v>
      </c>
      <c r="B708" s="1194">
        <v>4300</v>
      </c>
      <c r="C708" s="2217" t="s">
        <v>148</v>
      </c>
      <c r="D708" s="2217"/>
      <c r="E708" s="463">
        <f aca="true" t="shared" si="143" ref="E708:J708">SUM(E709:E711)</f>
        <v>0</v>
      </c>
      <c r="F708" s="464">
        <f t="shared" si="143"/>
        <v>0</v>
      </c>
      <c r="G708" s="575">
        <f t="shared" si="143"/>
        <v>0</v>
      </c>
      <c r="H708" s="576">
        <f t="shared" si="143"/>
        <v>0</v>
      </c>
      <c r="I708" s="576">
        <f t="shared" si="143"/>
        <v>0</v>
      </c>
      <c r="J708" s="577">
        <f t="shared" si="143"/>
        <v>0</v>
      </c>
      <c r="K708" s="1523">
        <f t="shared" si="140"/>
      </c>
      <c r="L708" s="495"/>
    </row>
    <row r="709" spans="1:12" ht="15.75">
      <c r="A709" s="465">
        <v>397</v>
      </c>
      <c r="B709" s="1245"/>
      <c r="C709" s="1196">
        <v>4301</v>
      </c>
      <c r="D709" s="1215" t="s">
        <v>1275</v>
      </c>
      <c r="E709" s="619"/>
      <c r="F709" s="628">
        <f aca="true" t="shared" si="144" ref="F709:F714">G709+H709+I709+J709</f>
        <v>0</v>
      </c>
      <c r="G709" s="542"/>
      <c r="H709" s="543"/>
      <c r="I709" s="543"/>
      <c r="J709" s="544"/>
      <c r="K709" s="1523">
        <f t="shared" si="140"/>
      </c>
      <c r="L709" s="495"/>
    </row>
    <row r="710" spans="1:12" ht="15.75">
      <c r="A710" s="7">
        <v>398</v>
      </c>
      <c r="B710" s="1245"/>
      <c r="C710" s="1202">
        <v>4302</v>
      </c>
      <c r="D710" s="1246" t="s">
        <v>1364</v>
      </c>
      <c r="E710" s="621"/>
      <c r="F710" s="630">
        <f t="shared" si="144"/>
        <v>0</v>
      </c>
      <c r="G710" s="545"/>
      <c r="H710" s="546"/>
      <c r="I710" s="546"/>
      <c r="J710" s="547"/>
      <c r="K710" s="1523">
        <f t="shared" si="140"/>
      </c>
      <c r="L710" s="495"/>
    </row>
    <row r="711" spans="1:12" ht="15.75">
      <c r="A711" s="7">
        <v>399</v>
      </c>
      <c r="B711" s="1245"/>
      <c r="C711" s="1198">
        <v>4309</v>
      </c>
      <c r="D711" s="1206" t="s">
        <v>1277</v>
      </c>
      <c r="E711" s="625"/>
      <c r="F711" s="629">
        <f t="shared" si="144"/>
        <v>0</v>
      </c>
      <c r="G711" s="554"/>
      <c r="H711" s="555"/>
      <c r="I711" s="555"/>
      <c r="J711" s="556"/>
      <c r="K711" s="1523">
        <f t="shared" si="140"/>
      </c>
      <c r="L711" s="495"/>
    </row>
    <row r="712" spans="1:12" ht="15.75">
      <c r="A712" s="7">
        <v>400</v>
      </c>
      <c r="B712" s="1194">
        <v>4400</v>
      </c>
      <c r="C712" s="2217" t="s">
        <v>145</v>
      </c>
      <c r="D712" s="2217"/>
      <c r="E712" s="1504"/>
      <c r="F712" s="464">
        <f t="shared" si="144"/>
        <v>0</v>
      </c>
      <c r="G712" s="1308"/>
      <c r="H712" s="1309"/>
      <c r="I712" s="1309"/>
      <c r="J712" s="1310"/>
      <c r="K712" s="1523">
        <f t="shared" si="140"/>
      </c>
      <c r="L712" s="495"/>
    </row>
    <row r="713" spans="1:12" ht="15.75">
      <c r="A713" s="7">
        <v>401</v>
      </c>
      <c r="B713" s="1194">
        <v>4500</v>
      </c>
      <c r="C713" s="2217" t="s">
        <v>146</v>
      </c>
      <c r="D713" s="2217"/>
      <c r="E713" s="1504"/>
      <c r="F713" s="464">
        <f t="shared" si="144"/>
        <v>0</v>
      </c>
      <c r="G713" s="1308"/>
      <c r="H713" s="1309"/>
      <c r="I713" s="1309"/>
      <c r="J713" s="1310"/>
      <c r="K713" s="1523">
        <f t="shared" si="140"/>
      </c>
      <c r="L713" s="495"/>
    </row>
    <row r="714" spans="1:12" ht="15.75">
      <c r="A714" s="7">
        <v>402</v>
      </c>
      <c r="B714" s="1194">
        <v>4600</v>
      </c>
      <c r="C714" s="2222" t="s">
        <v>1278</v>
      </c>
      <c r="D714" s="2223"/>
      <c r="E714" s="1504">
        <v>80000</v>
      </c>
      <c r="F714" s="464">
        <f t="shared" si="144"/>
        <v>42550</v>
      </c>
      <c r="G714" s="1308">
        <v>42550</v>
      </c>
      <c r="H714" s="1309"/>
      <c r="I714" s="1309"/>
      <c r="J714" s="1310"/>
      <c r="K714" s="1523">
        <f t="shared" si="140"/>
        <v>1</v>
      </c>
      <c r="L714" s="495"/>
    </row>
    <row r="715" spans="1:12" ht="15.75">
      <c r="A715" s="18">
        <v>404</v>
      </c>
      <c r="B715" s="1194">
        <v>4900</v>
      </c>
      <c r="C715" s="2217" t="s">
        <v>2010</v>
      </c>
      <c r="D715" s="2217"/>
      <c r="E715" s="463">
        <f aca="true" t="shared" si="145" ref="E715:J715">+E716+E717</f>
        <v>0</v>
      </c>
      <c r="F715" s="464">
        <f t="shared" si="145"/>
        <v>0</v>
      </c>
      <c r="G715" s="575">
        <f t="shared" si="145"/>
        <v>0</v>
      </c>
      <c r="H715" s="576">
        <f t="shared" si="145"/>
        <v>0</v>
      </c>
      <c r="I715" s="576">
        <f t="shared" si="145"/>
        <v>0</v>
      </c>
      <c r="J715" s="577">
        <f t="shared" si="145"/>
        <v>0</v>
      </c>
      <c r="K715" s="1523">
        <f t="shared" si="140"/>
      </c>
      <c r="L715" s="495"/>
    </row>
    <row r="716" spans="1:12" ht="15.75">
      <c r="A716" s="18">
        <v>404</v>
      </c>
      <c r="B716" s="1245"/>
      <c r="C716" s="1196">
        <v>4901</v>
      </c>
      <c r="D716" s="1247" t="s">
        <v>2011</v>
      </c>
      <c r="E716" s="619"/>
      <c r="F716" s="628">
        <f>G716+H716+I716+J716</f>
        <v>0</v>
      </c>
      <c r="G716" s="542"/>
      <c r="H716" s="543"/>
      <c r="I716" s="543"/>
      <c r="J716" s="544"/>
      <c r="K716" s="1523">
        <f t="shared" si="140"/>
      </c>
      <c r="L716" s="495"/>
    </row>
    <row r="717" spans="1:12" ht="15.75">
      <c r="A717" s="8">
        <v>440</v>
      </c>
      <c r="B717" s="1245"/>
      <c r="C717" s="1198">
        <v>4902</v>
      </c>
      <c r="D717" s="1206" t="s">
        <v>2012</v>
      </c>
      <c r="E717" s="625"/>
      <c r="F717" s="629">
        <f>G717+H717+I717+J717</f>
        <v>0</v>
      </c>
      <c r="G717" s="554"/>
      <c r="H717" s="555"/>
      <c r="I717" s="555"/>
      <c r="J717" s="556"/>
      <c r="K717" s="1523">
        <f t="shared" si="140"/>
      </c>
      <c r="L717" s="495"/>
    </row>
    <row r="718" spans="1:12" ht="15.75">
      <c r="A718" s="8">
        <v>450</v>
      </c>
      <c r="B718" s="1248">
        <v>5100</v>
      </c>
      <c r="C718" s="2216" t="s">
        <v>1279</v>
      </c>
      <c r="D718" s="2216"/>
      <c r="E718" s="1504">
        <v>58500</v>
      </c>
      <c r="F718" s="464">
        <f>G718+H718+I718+J718</f>
        <v>0</v>
      </c>
      <c r="G718" s="1308"/>
      <c r="H718" s="1309"/>
      <c r="I718" s="1309"/>
      <c r="J718" s="1310"/>
      <c r="K718" s="1523">
        <f t="shared" si="140"/>
        <v>1</v>
      </c>
      <c r="L718" s="495"/>
    </row>
    <row r="719" spans="1:12" ht="15.75">
      <c r="A719" s="8">
        <v>495</v>
      </c>
      <c r="B719" s="1248">
        <v>5200</v>
      </c>
      <c r="C719" s="2216" t="s">
        <v>1280</v>
      </c>
      <c r="D719" s="2216"/>
      <c r="E719" s="463">
        <f aca="true" t="shared" si="146" ref="E719:J719">SUM(E720:E726)</f>
        <v>520500</v>
      </c>
      <c r="F719" s="464">
        <f t="shared" si="146"/>
        <v>-16244</v>
      </c>
      <c r="G719" s="575">
        <f t="shared" si="146"/>
        <v>-16244</v>
      </c>
      <c r="H719" s="576">
        <f t="shared" si="146"/>
        <v>0</v>
      </c>
      <c r="I719" s="576">
        <f t="shared" si="146"/>
        <v>0</v>
      </c>
      <c r="J719" s="577">
        <f t="shared" si="146"/>
        <v>0</v>
      </c>
      <c r="K719" s="1523">
        <f t="shared" si="140"/>
        <v>1</v>
      </c>
      <c r="L719" s="495"/>
    </row>
    <row r="720" spans="1:12" ht="15.75">
      <c r="A720" s="9">
        <v>500</v>
      </c>
      <c r="B720" s="1249"/>
      <c r="C720" s="1250">
        <v>5201</v>
      </c>
      <c r="D720" s="1251" t="s">
        <v>1281</v>
      </c>
      <c r="E720" s="619">
        <v>116000</v>
      </c>
      <c r="F720" s="628">
        <f aca="true" t="shared" si="147" ref="F720:F726">G720+H720+I720+J720</f>
        <v>0</v>
      </c>
      <c r="G720" s="542"/>
      <c r="H720" s="543"/>
      <c r="I720" s="543"/>
      <c r="J720" s="544"/>
      <c r="K720" s="1523">
        <f t="shared" si="140"/>
        <v>1</v>
      </c>
      <c r="L720" s="495"/>
    </row>
    <row r="721" spans="1:12" ht="15.75">
      <c r="A721" s="9">
        <v>505</v>
      </c>
      <c r="B721" s="1249"/>
      <c r="C721" s="1252">
        <v>5202</v>
      </c>
      <c r="D721" s="1253" t="s">
        <v>1282</v>
      </c>
      <c r="E721" s="621"/>
      <c r="F721" s="630">
        <f t="shared" si="147"/>
        <v>0</v>
      </c>
      <c r="G721" s="545"/>
      <c r="H721" s="546"/>
      <c r="I721" s="546"/>
      <c r="J721" s="547"/>
      <c r="K721" s="1523">
        <f t="shared" si="140"/>
      </c>
      <c r="L721" s="495"/>
    </row>
    <row r="722" spans="1:12" ht="15.75">
      <c r="A722" s="9">
        <v>510</v>
      </c>
      <c r="B722" s="1249"/>
      <c r="C722" s="1252">
        <v>5203</v>
      </c>
      <c r="D722" s="1253" t="s">
        <v>523</v>
      </c>
      <c r="E722" s="621">
        <v>291500</v>
      </c>
      <c r="F722" s="630">
        <f t="shared" si="147"/>
        <v>-16244</v>
      </c>
      <c r="G722" s="545">
        <v>-16244</v>
      </c>
      <c r="H722" s="546"/>
      <c r="I722" s="546"/>
      <c r="J722" s="547"/>
      <c r="K722" s="1523">
        <f t="shared" si="140"/>
        <v>1</v>
      </c>
      <c r="L722" s="495"/>
    </row>
    <row r="723" spans="1:12" ht="15.75">
      <c r="A723" s="9">
        <v>515</v>
      </c>
      <c r="B723" s="1249"/>
      <c r="C723" s="1252">
        <v>5204</v>
      </c>
      <c r="D723" s="1253" t="s">
        <v>524</v>
      </c>
      <c r="E723" s="621">
        <v>108000</v>
      </c>
      <c r="F723" s="630">
        <f t="shared" si="147"/>
        <v>0</v>
      </c>
      <c r="G723" s="545"/>
      <c r="H723" s="546"/>
      <c r="I723" s="546"/>
      <c r="J723" s="547"/>
      <c r="K723" s="1523">
        <f t="shared" si="140"/>
        <v>1</v>
      </c>
      <c r="L723" s="495"/>
    </row>
    <row r="724" spans="1:12" ht="15.75">
      <c r="A724" s="9">
        <v>520</v>
      </c>
      <c r="B724" s="1249"/>
      <c r="C724" s="1252">
        <v>5205</v>
      </c>
      <c r="D724" s="1253" t="s">
        <v>525</v>
      </c>
      <c r="E724" s="621">
        <v>5000</v>
      </c>
      <c r="F724" s="630">
        <f t="shared" si="147"/>
        <v>0</v>
      </c>
      <c r="G724" s="545"/>
      <c r="H724" s="546"/>
      <c r="I724" s="546"/>
      <c r="J724" s="547"/>
      <c r="K724" s="1523">
        <f t="shared" si="140"/>
        <v>1</v>
      </c>
      <c r="L724" s="495"/>
    </row>
    <row r="725" spans="1:12" ht="15.75">
      <c r="A725" s="9">
        <v>525</v>
      </c>
      <c r="B725" s="1249"/>
      <c r="C725" s="1252">
        <v>5206</v>
      </c>
      <c r="D725" s="1253" t="s">
        <v>526</v>
      </c>
      <c r="E725" s="621"/>
      <c r="F725" s="630">
        <f t="shared" si="147"/>
        <v>0</v>
      </c>
      <c r="G725" s="545"/>
      <c r="H725" s="546"/>
      <c r="I725" s="546"/>
      <c r="J725" s="547"/>
      <c r="K725" s="1523">
        <f t="shared" si="140"/>
      </c>
      <c r="L725" s="495"/>
    </row>
    <row r="726" spans="1:12" ht="15.75">
      <c r="A726" s="8">
        <v>635</v>
      </c>
      <c r="B726" s="1249"/>
      <c r="C726" s="1254">
        <v>5219</v>
      </c>
      <c r="D726" s="1255" t="s">
        <v>527</v>
      </c>
      <c r="E726" s="625"/>
      <c r="F726" s="629">
        <f t="shared" si="147"/>
        <v>0</v>
      </c>
      <c r="G726" s="554"/>
      <c r="H726" s="555"/>
      <c r="I726" s="555"/>
      <c r="J726" s="556"/>
      <c r="K726" s="1523">
        <f t="shared" si="140"/>
      </c>
      <c r="L726" s="495"/>
    </row>
    <row r="727" spans="1:12" ht="15.75">
      <c r="A727" s="9">
        <v>640</v>
      </c>
      <c r="B727" s="1248">
        <v>5300</v>
      </c>
      <c r="C727" s="2216" t="s">
        <v>528</v>
      </c>
      <c r="D727" s="2216"/>
      <c r="E727" s="463">
        <f aca="true" t="shared" si="148" ref="E727:J727">SUM(E728:E729)</f>
        <v>904000</v>
      </c>
      <c r="F727" s="464">
        <f t="shared" si="148"/>
        <v>0</v>
      </c>
      <c r="G727" s="575">
        <f t="shared" si="148"/>
        <v>0</v>
      </c>
      <c r="H727" s="576">
        <f t="shared" si="148"/>
        <v>0</v>
      </c>
      <c r="I727" s="576">
        <f t="shared" si="148"/>
        <v>0</v>
      </c>
      <c r="J727" s="577">
        <f t="shared" si="148"/>
        <v>0</v>
      </c>
      <c r="K727" s="1523">
        <f t="shared" si="140"/>
        <v>1</v>
      </c>
      <c r="L727" s="495"/>
    </row>
    <row r="728" spans="1:12" ht="15.75">
      <c r="A728" s="9">
        <v>645</v>
      </c>
      <c r="B728" s="1249"/>
      <c r="C728" s="1250">
        <v>5301</v>
      </c>
      <c r="D728" s="1251" t="s">
        <v>1210</v>
      </c>
      <c r="E728" s="619">
        <v>904000</v>
      </c>
      <c r="F728" s="628">
        <f>G728+H728+I728+J728</f>
        <v>0</v>
      </c>
      <c r="G728" s="542"/>
      <c r="H728" s="543"/>
      <c r="I728" s="543"/>
      <c r="J728" s="544"/>
      <c r="K728" s="1523">
        <f t="shared" si="140"/>
        <v>1</v>
      </c>
      <c r="L728" s="495"/>
    </row>
    <row r="729" spans="1:12" ht="15.75">
      <c r="A729" s="9">
        <v>650</v>
      </c>
      <c r="B729" s="1249"/>
      <c r="C729" s="1254">
        <v>5309</v>
      </c>
      <c r="D729" s="1255" t="s">
        <v>529</v>
      </c>
      <c r="E729" s="625"/>
      <c r="F729" s="629">
        <f>G729+H729+I729+J729</f>
        <v>0</v>
      </c>
      <c r="G729" s="554"/>
      <c r="H729" s="555"/>
      <c r="I729" s="555"/>
      <c r="J729" s="556"/>
      <c r="K729" s="1523">
        <f t="shared" si="140"/>
      </c>
      <c r="L729" s="495"/>
    </row>
    <row r="730" spans="1:12" ht="15.75">
      <c r="A730" s="8">
        <v>655</v>
      </c>
      <c r="B730" s="1248">
        <v>5400</v>
      </c>
      <c r="C730" s="2216" t="s">
        <v>1296</v>
      </c>
      <c r="D730" s="2216"/>
      <c r="E730" s="1504"/>
      <c r="F730" s="464">
        <f>G730+H730+I730+J730</f>
        <v>0</v>
      </c>
      <c r="G730" s="1308"/>
      <c r="H730" s="1309"/>
      <c r="I730" s="1309"/>
      <c r="J730" s="1310"/>
      <c r="K730" s="1523">
        <f t="shared" si="140"/>
      </c>
      <c r="L730" s="495"/>
    </row>
    <row r="731" spans="1:12" ht="15.75">
      <c r="A731" s="8">
        <v>665</v>
      </c>
      <c r="B731" s="1194">
        <v>5500</v>
      </c>
      <c r="C731" s="2217" t="s">
        <v>1297</v>
      </c>
      <c r="D731" s="2217"/>
      <c r="E731" s="463">
        <f aca="true" t="shared" si="149" ref="E731:J731">SUM(E732:E735)</f>
        <v>0</v>
      </c>
      <c r="F731" s="464">
        <f t="shared" si="149"/>
        <v>0</v>
      </c>
      <c r="G731" s="575">
        <f t="shared" si="149"/>
        <v>0</v>
      </c>
      <c r="H731" s="576">
        <f t="shared" si="149"/>
        <v>0</v>
      </c>
      <c r="I731" s="576">
        <f t="shared" si="149"/>
        <v>0</v>
      </c>
      <c r="J731" s="577">
        <f t="shared" si="149"/>
        <v>0</v>
      </c>
      <c r="K731" s="1523">
        <f t="shared" si="140"/>
      </c>
      <c r="L731" s="495"/>
    </row>
    <row r="732" spans="1:12" ht="15.75">
      <c r="A732" s="8">
        <v>675</v>
      </c>
      <c r="B732" s="1245"/>
      <c r="C732" s="1196">
        <v>5501</v>
      </c>
      <c r="D732" s="1215" t="s">
        <v>1298</v>
      </c>
      <c r="E732" s="619"/>
      <c r="F732" s="628">
        <f>G732+H732+I732+J732</f>
        <v>0</v>
      </c>
      <c r="G732" s="542"/>
      <c r="H732" s="543"/>
      <c r="I732" s="543"/>
      <c r="J732" s="544"/>
      <c r="K732" s="1523">
        <f t="shared" si="140"/>
      </c>
      <c r="L732" s="495"/>
    </row>
    <row r="733" spans="1:12" ht="15.75">
      <c r="A733" s="8">
        <v>685</v>
      </c>
      <c r="B733" s="1245"/>
      <c r="C733" s="1202">
        <v>5502</v>
      </c>
      <c r="D733" s="1203" t="s">
        <v>1299</v>
      </c>
      <c r="E733" s="621"/>
      <c r="F733" s="630">
        <f>G733+H733+I733+J733</f>
        <v>0</v>
      </c>
      <c r="G733" s="545"/>
      <c r="H733" s="546"/>
      <c r="I733" s="546"/>
      <c r="J733" s="547"/>
      <c r="K733" s="1523">
        <f t="shared" si="140"/>
      </c>
      <c r="L733" s="495"/>
    </row>
    <row r="734" spans="1:12" ht="15.75">
      <c r="A734" s="9">
        <v>690</v>
      </c>
      <c r="B734" s="1245"/>
      <c r="C734" s="1202">
        <v>5503</v>
      </c>
      <c r="D734" s="1246" t="s">
        <v>1300</v>
      </c>
      <c r="E734" s="621"/>
      <c r="F734" s="630">
        <f>G734+H734+I734+J734</f>
        <v>0</v>
      </c>
      <c r="G734" s="545"/>
      <c r="H734" s="546"/>
      <c r="I734" s="546"/>
      <c r="J734" s="547"/>
      <c r="K734" s="1523">
        <f t="shared" si="140"/>
      </c>
      <c r="L734" s="495"/>
    </row>
    <row r="735" spans="1:12" ht="15.75">
      <c r="A735" s="9">
        <v>695</v>
      </c>
      <c r="B735" s="1245"/>
      <c r="C735" s="1198">
        <v>5504</v>
      </c>
      <c r="D735" s="1226" t="s">
        <v>1301</v>
      </c>
      <c r="E735" s="625"/>
      <c r="F735" s="629">
        <f>G735+H735+I735+J735</f>
        <v>0</v>
      </c>
      <c r="G735" s="554"/>
      <c r="H735" s="555"/>
      <c r="I735" s="555"/>
      <c r="J735" s="556"/>
      <c r="K735" s="1523">
        <f t="shared" si="140"/>
      </c>
      <c r="L735" s="495"/>
    </row>
    <row r="736" spans="1:12" ht="36" customHeight="1">
      <c r="A736" s="8">
        <v>700</v>
      </c>
      <c r="B736" s="1248">
        <v>5700</v>
      </c>
      <c r="C736" s="2218" t="s">
        <v>1597</v>
      </c>
      <c r="D736" s="2219"/>
      <c r="E736" s="463">
        <f aca="true" t="shared" si="150" ref="E736:J736">SUM(E737:E739)</f>
        <v>0</v>
      </c>
      <c r="F736" s="464">
        <f t="shared" si="150"/>
        <v>0</v>
      </c>
      <c r="G736" s="575">
        <f t="shared" si="150"/>
        <v>0</v>
      </c>
      <c r="H736" s="576">
        <f t="shared" si="150"/>
        <v>0</v>
      </c>
      <c r="I736" s="576">
        <f t="shared" si="150"/>
        <v>0</v>
      </c>
      <c r="J736" s="577">
        <f t="shared" si="150"/>
        <v>0</v>
      </c>
      <c r="K736" s="1523">
        <f t="shared" si="140"/>
      </c>
      <c r="L736" s="495"/>
    </row>
    <row r="737" spans="1:12" ht="15.75">
      <c r="A737" s="8">
        <v>710</v>
      </c>
      <c r="B737" s="1249"/>
      <c r="C737" s="1250">
        <v>5701</v>
      </c>
      <c r="D737" s="1251" t="s">
        <v>1303</v>
      </c>
      <c r="E737" s="619"/>
      <c r="F737" s="628">
        <f>G737+H737+I737+J737</f>
        <v>0</v>
      </c>
      <c r="G737" s="542"/>
      <c r="H737" s="543"/>
      <c r="I737" s="543"/>
      <c r="J737" s="544"/>
      <c r="K737" s="1523">
        <f t="shared" si="140"/>
      </c>
      <c r="L737" s="495"/>
    </row>
    <row r="738" spans="1:12" ht="15.75">
      <c r="A738" s="9">
        <v>715</v>
      </c>
      <c r="B738" s="1249"/>
      <c r="C738" s="1256">
        <v>5702</v>
      </c>
      <c r="D738" s="1257" t="s">
        <v>1304</v>
      </c>
      <c r="E738" s="623"/>
      <c r="F738" s="631">
        <f>G738+H738+I738+J738</f>
        <v>0</v>
      </c>
      <c r="G738" s="609"/>
      <c r="H738" s="610"/>
      <c r="I738" s="610"/>
      <c r="J738" s="611"/>
      <c r="K738" s="1523">
        <f t="shared" si="140"/>
      </c>
      <c r="L738" s="495"/>
    </row>
    <row r="739" spans="1:12" ht="15.75">
      <c r="A739" s="9">
        <v>720</v>
      </c>
      <c r="B739" s="1201"/>
      <c r="C739" s="1258">
        <v>4071</v>
      </c>
      <c r="D739" s="1259" t="s">
        <v>1305</v>
      </c>
      <c r="E739" s="1509"/>
      <c r="F739" s="641">
        <f>G739+H739+I739+J739</f>
        <v>0</v>
      </c>
      <c r="G739" s="744"/>
      <c r="H739" s="1311"/>
      <c r="I739" s="1311"/>
      <c r="J739" s="1312"/>
      <c r="K739" s="1523">
        <f t="shared" si="140"/>
      </c>
      <c r="L739" s="495"/>
    </row>
    <row r="740" spans="1:12" ht="15.75">
      <c r="A740" s="9">
        <v>725</v>
      </c>
      <c r="B740" s="1260"/>
      <c r="C740" s="1261"/>
      <c r="D740" s="1262"/>
      <c r="E740" s="1524"/>
      <c r="F740" s="761"/>
      <c r="G740" s="761"/>
      <c r="H740" s="761"/>
      <c r="I740" s="761"/>
      <c r="J740" s="762"/>
      <c r="K740" s="1523">
        <f t="shared" si="140"/>
      </c>
      <c r="L740" s="495"/>
    </row>
    <row r="741" spans="1:12" ht="15.75">
      <c r="A741" s="9">
        <v>730</v>
      </c>
      <c r="B741" s="1263">
        <v>98</v>
      </c>
      <c r="C741" s="2220" t="s">
        <v>1306</v>
      </c>
      <c r="D741" s="2221"/>
      <c r="E741" s="1510"/>
      <c r="F741" s="773">
        <f>G741+H741+I741+J741</f>
        <v>0</v>
      </c>
      <c r="G741" s="766">
        <v>0</v>
      </c>
      <c r="H741" s="767">
        <v>0</v>
      </c>
      <c r="I741" s="767">
        <v>0</v>
      </c>
      <c r="J741" s="768">
        <v>0</v>
      </c>
      <c r="K741" s="1523">
        <f t="shared" si="140"/>
      </c>
      <c r="L741" s="495"/>
    </row>
    <row r="742" spans="1:12" ht="15.75">
      <c r="A742" s="9">
        <v>735</v>
      </c>
      <c r="B742" s="1264"/>
      <c r="C742" s="1265"/>
      <c r="D742" s="1266"/>
      <c r="E742" s="383"/>
      <c r="F742" s="383"/>
      <c r="G742" s="383"/>
      <c r="H742" s="383"/>
      <c r="I742" s="383"/>
      <c r="J742" s="384"/>
      <c r="K742" s="1523">
        <f t="shared" si="140"/>
      </c>
      <c r="L742" s="495"/>
    </row>
    <row r="743" spans="1:12" ht="15.75">
      <c r="A743" s="9">
        <v>740</v>
      </c>
      <c r="B743" s="1267"/>
      <c r="C743" s="1121"/>
      <c r="D743" s="1262"/>
      <c r="E743" s="385"/>
      <c r="F743" s="385"/>
      <c r="G743" s="385"/>
      <c r="H743" s="385"/>
      <c r="I743" s="385"/>
      <c r="J743" s="386"/>
      <c r="K743" s="1523">
        <f t="shared" si="140"/>
      </c>
      <c r="L743" s="495"/>
    </row>
    <row r="744" spans="1:12" ht="15.75">
      <c r="A744" s="9">
        <v>745</v>
      </c>
      <c r="B744" s="1268"/>
      <c r="C744" s="1269"/>
      <c r="D744" s="1262"/>
      <c r="E744" s="385"/>
      <c r="F744" s="385"/>
      <c r="G744" s="385"/>
      <c r="H744" s="385"/>
      <c r="I744" s="385"/>
      <c r="J744" s="386"/>
      <c r="K744" s="1523">
        <f t="shared" si="140"/>
      </c>
      <c r="L744" s="495"/>
    </row>
    <row r="745" spans="1:12" ht="16.5" thickBot="1">
      <c r="A745" s="8">
        <v>750</v>
      </c>
      <c r="B745" s="1270"/>
      <c r="C745" s="1270" t="s">
        <v>754</v>
      </c>
      <c r="D745" s="1271">
        <f>+B745</f>
        <v>0</v>
      </c>
      <c r="E745" s="477">
        <f aca="true" t="shared" si="151" ref="E745:J745">SUM(E629,E632,E638,E646,E647,E665,E669,E675,E678,E679,E680,E681,E682,E691,E698,E699,E700,E701,E708,E712,E713,E714,E715,E718,E719,E727,E730,E731,E736)+E741</f>
        <v>9669200</v>
      </c>
      <c r="F745" s="478">
        <f t="shared" si="151"/>
        <v>1621894</v>
      </c>
      <c r="G745" s="758">
        <f t="shared" si="151"/>
        <v>1179379</v>
      </c>
      <c r="H745" s="759">
        <f t="shared" si="151"/>
        <v>0</v>
      </c>
      <c r="I745" s="759">
        <f t="shared" si="151"/>
        <v>43420</v>
      </c>
      <c r="J745" s="760">
        <f t="shared" si="151"/>
        <v>399095</v>
      </c>
      <c r="K745" s="1523">
        <f t="shared" si="140"/>
        <v>1</v>
      </c>
      <c r="L745" s="1517" t="str">
        <f>LEFT(C626,1)</f>
        <v>8</v>
      </c>
    </row>
    <row r="746" spans="1:12" ht="16.5" thickTop="1">
      <c r="A746" s="9">
        <v>755</v>
      </c>
      <c r="B746" s="1272"/>
      <c r="C746" s="1273"/>
      <c r="D746" s="1124"/>
      <c r="E746" s="774"/>
      <c r="F746" s="774"/>
      <c r="G746" s="774"/>
      <c r="H746" s="774"/>
      <c r="I746" s="774"/>
      <c r="J746" s="774"/>
      <c r="K746" s="4">
        <f>K745</f>
        <v>1</v>
      </c>
      <c r="L746" s="494"/>
    </row>
    <row r="747" spans="1:12" ht="15.75">
      <c r="A747" s="9">
        <v>760</v>
      </c>
      <c r="B747" s="1183"/>
      <c r="C747" s="1274"/>
      <c r="D747" s="1275"/>
      <c r="E747" s="775"/>
      <c r="F747" s="775"/>
      <c r="G747" s="775"/>
      <c r="H747" s="775"/>
      <c r="I747" s="775"/>
      <c r="J747" s="775"/>
      <c r="K747" s="4">
        <f>K745</f>
        <v>1</v>
      </c>
      <c r="L747" s="494"/>
    </row>
    <row r="748" spans="1:12" ht="15.75">
      <c r="A748" s="8">
        <v>765</v>
      </c>
      <c r="B748" s="774"/>
      <c r="C748" s="1121"/>
      <c r="D748" s="1147"/>
      <c r="E748" s="775"/>
      <c r="F748" s="775"/>
      <c r="G748" s="775"/>
      <c r="H748" s="775"/>
      <c r="I748" s="775"/>
      <c r="J748" s="775"/>
      <c r="K748" s="1903">
        <f>(IF(SUM(K759:K780)&lt;&gt;0,$K$2,""))</f>
        <v>1</v>
      </c>
      <c r="L748" s="494"/>
    </row>
    <row r="749" spans="1:12" ht="15.75">
      <c r="A749" s="8">
        <v>775</v>
      </c>
      <c r="B749" s="2208" t="str">
        <f>$B$7</f>
        <v>ОТЧЕТНИ ДАННИ ПО ЕБК ЗА ИЗПЪЛНЕНИЕТО НА БЮДЖЕТА</v>
      </c>
      <c r="C749" s="2209"/>
      <c r="D749" s="2209"/>
      <c r="E749" s="775"/>
      <c r="F749" s="775"/>
      <c r="G749" s="775"/>
      <c r="H749" s="775"/>
      <c r="I749" s="775"/>
      <c r="J749" s="775"/>
      <c r="K749" s="1903">
        <f>(IF(SUM(K759:K780)&lt;&gt;0,$K$2,""))</f>
        <v>1</v>
      </c>
      <c r="L749" s="494"/>
    </row>
    <row r="750" spans="1:12" ht="15.75">
      <c r="A750" s="9">
        <v>780</v>
      </c>
      <c r="B750" s="774"/>
      <c r="C750" s="1121"/>
      <c r="D750" s="1147"/>
      <c r="E750" s="1148" t="s">
        <v>983</v>
      </c>
      <c r="F750" s="1148" t="s">
        <v>889</v>
      </c>
      <c r="G750" s="775"/>
      <c r="H750" s="775"/>
      <c r="I750" s="775"/>
      <c r="J750" s="775"/>
      <c r="K750" s="1903">
        <f>(IF(SUM(K759:K780)&lt;&gt;0,$K$2,""))</f>
        <v>1</v>
      </c>
      <c r="L750" s="494"/>
    </row>
    <row r="751" spans="1:12" ht="18.75">
      <c r="A751" s="9">
        <v>785</v>
      </c>
      <c r="B751" s="2210" t="str">
        <f>$B$9</f>
        <v>КОМИСИЯ ЗА РЕГУЛИРАНЕ НА СЪОБЩЕНИЯТА</v>
      </c>
      <c r="C751" s="2211"/>
      <c r="D751" s="2212"/>
      <c r="E751" s="1066">
        <f>$E$9</f>
        <v>43101</v>
      </c>
      <c r="F751" s="1152">
        <f>$F$9</f>
        <v>43190</v>
      </c>
      <c r="G751" s="775"/>
      <c r="H751" s="775"/>
      <c r="I751" s="775"/>
      <c r="J751" s="775"/>
      <c r="K751" s="1903">
        <f>(IF(SUM(K759:K780)&lt;&gt;0,$K$2,""))</f>
        <v>1</v>
      </c>
      <c r="L751" s="494"/>
    </row>
    <row r="752" spans="1:12" ht="15.75">
      <c r="A752" s="9">
        <v>790</v>
      </c>
      <c r="B752" s="1153" t="str">
        <f>$B$10</f>
        <v>                                                            (наименование на разпоредителя с бюджет)</v>
      </c>
      <c r="C752" s="774"/>
      <c r="D752" s="1124"/>
      <c r="E752" s="1154"/>
      <c r="F752" s="1154"/>
      <c r="G752" s="775"/>
      <c r="H752" s="775"/>
      <c r="I752" s="775"/>
      <c r="J752" s="775"/>
      <c r="K752" s="1903">
        <f>(IF(SUM(K759:K780)&lt;&gt;0,$K$2,""))</f>
        <v>1</v>
      </c>
      <c r="L752" s="494"/>
    </row>
    <row r="753" spans="1:12" ht="15.75">
      <c r="A753" s="9">
        <v>795</v>
      </c>
      <c r="B753" s="1153"/>
      <c r="C753" s="774"/>
      <c r="D753" s="1124"/>
      <c r="E753" s="1153"/>
      <c r="F753" s="774"/>
      <c r="G753" s="775"/>
      <c r="H753" s="775"/>
      <c r="I753" s="775"/>
      <c r="J753" s="775"/>
      <c r="K753" s="1903">
        <f>(IF(SUM(K759:K780)&lt;&gt;0,$K$2,""))</f>
        <v>1</v>
      </c>
      <c r="L753" s="494"/>
    </row>
    <row r="754" spans="1:12" ht="19.5">
      <c r="A754" s="8">
        <v>805</v>
      </c>
      <c r="B754" s="2213" t="str">
        <f>$B$12</f>
        <v>Комисия за регулиране на съобщенията</v>
      </c>
      <c r="C754" s="2214"/>
      <c r="D754" s="2215"/>
      <c r="E754" s="1155" t="s">
        <v>1249</v>
      </c>
      <c r="F754" s="1902" t="str">
        <f>$F$12</f>
        <v>4300</v>
      </c>
      <c r="G754" s="775"/>
      <c r="H754" s="775"/>
      <c r="I754" s="775"/>
      <c r="J754" s="775"/>
      <c r="K754" s="1903">
        <f>(IF(SUM(K759:K780)&lt;&gt;0,$K$2,""))</f>
        <v>1</v>
      </c>
      <c r="L754" s="494"/>
    </row>
    <row r="755" spans="1:12" ht="15.75">
      <c r="A755" s="9">
        <v>810</v>
      </c>
      <c r="B755" s="1157" t="str">
        <f>$B$13</f>
        <v>                                             (наименование на първостепенния разпоредител с бюджет)</v>
      </c>
      <c r="C755" s="774"/>
      <c r="D755" s="1124"/>
      <c r="E755" s="1158"/>
      <c r="F755" s="1159"/>
      <c r="G755" s="775"/>
      <c r="H755" s="775"/>
      <c r="I755" s="775"/>
      <c r="J755" s="775"/>
      <c r="K755" s="1903">
        <f>(IF(SUM(K759:K780)&lt;&gt;0,$K$2,""))</f>
        <v>1</v>
      </c>
      <c r="L755" s="494"/>
    </row>
    <row r="756" spans="1:12" ht="19.5">
      <c r="A756" s="9">
        <v>815</v>
      </c>
      <c r="B756" s="1276"/>
      <c r="C756" s="1276"/>
      <c r="D756" s="1277" t="s">
        <v>1410</v>
      </c>
      <c r="E756" s="1278">
        <f>$E$15</f>
        <v>0</v>
      </c>
      <c r="F756" s="1279" t="str">
        <f>$F$15</f>
        <v>БЮДЖЕТ</v>
      </c>
      <c r="G756" s="385"/>
      <c r="H756" s="385"/>
      <c r="I756" s="385"/>
      <c r="J756" s="385"/>
      <c r="K756" s="1903">
        <f>(IF(SUM(K759:K780)&lt;&gt;0,$K$2,""))</f>
        <v>1</v>
      </c>
      <c r="L756" s="494"/>
    </row>
    <row r="757" spans="1:12" ht="16.5" thickBot="1">
      <c r="A757" s="13">
        <v>525</v>
      </c>
      <c r="B757" s="1154"/>
      <c r="C757" s="1121"/>
      <c r="D757" s="1280" t="s">
        <v>2169</v>
      </c>
      <c r="E757" s="775"/>
      <c r="F757" s="1281" t="s">
        <v>986</v>
      </c>
      <c r="G757" s="1281"/>
      <c r="H757" s="385"/>
      <c r="I757" s="1281"/>
      <c r="J757" s="385"/>
      <c r="K757" s="1903">
        <f>(IF(SUM(K759:K780)&lt;&gt;0,$K$2,""))</f>
        <v>1</v>
      </c>
      <c r="L757" s="494"/>
    </row>
    <row r="758" spans="1:12" ht="15.75">
      <c r="A758" s="8">
        <v>820</v>
      </c>
      <c r="B758" s="1282" t="s">
        <v>1308</v>
      </c>
      <c r="C758" s="1283" t="s">
        <v>1309</v>
      </c>
      <c r="D758" s="1284" t="s">
        <v>1310</v>
      </c>
      <c r="E758" s="1285" t="s">
        <v>1311</v>
      </c>
      <c r="F758" s="1286" t="s">
        <v>1312</v>
      </c>
      <c r="G758" s="776"/>
      <c r="H758" s="776"/>
      <c r="I758" s="776"/>
      <c r="J758" s="776"/>
      <c r="K758" s="1903">
        <f>(IF(SUM(K759:K780)&lt;&gt;0,$K$2,""))</f>
        <v>1</v>
      </c>
      <c r="L758" s="494"/>
    </row>
    <row r="759" spans="1:12" ht="15.75">
      <c r="A759" s="9">
        <v>821</v>
      </c>
      <c r="B759" s="1287"/>
      <c r="C759" s="1288" t="s">
        <v>1313</v>
      </c>
      <c r="D759" s="1289" t="s">
        <v>1314</v>
      </c>
      <c r="E759" s="1313">
        <v>255</v>
      </c>
      <c r="F759" s="1314">
        <v>204</v>
      </c>
      <c r="G759" s="776"/>
      <c r="H759" s="776"/>
      <c r="I759" s="776"/>
      <c r="J759" s="776"/>
      <c r="K759" s="212">
        <f aca="true" t="shared" si="152" ref="K759:K784">(IF($E759&lt;&gt;0,$K$2,IF($F759&lt;&gt;0,$K$2,"")))</f>
        <v>1</v>
      </c>
      <c r="L759" s="494"/>
    </row>
    <row r="760" spans="1:12" ht="15.75">
      <c r="A760" s="9">
        <v>822</v>
      </c>
      <c r="B760" s="1290"/>
      <c r="C760" s="1291" t="s">
        <v>1315</v>
      </c>
      <c r="D760" s="1292" t="s">
        <v>1316</v>
      </c>
      <c r="E760" s="1315">
        <v>25</v>
      </c>
      <c r="F760" s="1316">
        <v>21</v>
      </c>
      <c r="G760" s="776"/>
      <c r="H760" s="776"/>
      <c r="I760" s="776"/>
      <c r="J760" s="776"/>
      <c r="K760" s="212">
        <f t="shared" si="152"/>
        <v>1</v>
      </c>
      <c r="L760" s="494"/>
    </row>
    <row r="761" spans="1:12" ht="15.75">
      <c r="A761" s="9">
        <v>823</v>
      </c>
      <c r="B761" s="1293"/>
      <c r="C761" s="1294" t="s">
        <v>1317</v>
      </c>
      <c r="D761" s="1295" t="s">
        <v>1318</v>
      </c>
      <c r="E761" s="1317">
        <v>230</v>
      </c>
      <c r="F761" s="1318">
        <v>183</v>
      </c>
      <c r="G761" s="776"/>
      <c r="H761" s="776"/>
      <c r="I761" s="776"/>
      <c r="J761" s="776"/>
      <c r="K761" s="212">
        <f t="shared" si="152"/>
        <v>1</v>
      </c>
      <c r="L761" s="494"/>
    </row>
    <row r="762" spans="1:12" ht="15.75">
      <c r="A762" s="9">
        <v>825</v>
      </c>
      <c r="B762" s="1287"/>
      <c r="C762" s="1288" t="s">
        <v>1319</v>
      </c>
      <c r="D762" s="1289" t="s">
        <v>1320</v>
      </c>
      <c r="E762" s="1319">
        <v>255</v>
      </c>
      <c r="F762" s="1320">
        <v>201</v>
      </c>
      <c r="G762" s="776"/>
      <c r="H762" s="776"/>
      <c r="I762" s="776"/>
      <c r="J762" s="776"/>
      <c r="K762" s="212">
        <f t="shared" si="152"/>
        <v>1</v>
      </c>
      <c r="L762" s="494"/>
    </row>
    <row r="763" spans="1:12" ht="15.75">
      <c r="A763" s="9"/>
      <c r="B763" s="1290"/>
      <c r="C763" s="1291" t="s">
        <v>1321</v>
      </c>
      <c r="D763" s="1292" t="s">
        <v>1316</v>
      </c>
      <c r="E763" s="1315">
        <v>25</v>
      </c>
      <c r="F763" s="1316">
        <v>21</v>
      </c>
      <c r="G763" s="776"/>
      <c r="H763" s="776"/>
      <c r="I763" s="776"/>
      <c r="J763" s="776"/>
      <c r="K763" s="212">
        <f t="shared" si="152"/>
        <v>1</v>
      </c>
      <c r="L763" s="494"/>
    </row>
    <row r="764" spans="1:12" ht="15.75">
      <c r="A764" s="9"/>
      <c r="B764" s="1296"/>
      <c r="C764" s="1297" t="s">
        <v>1322</v>
      </c>
      <c r="D764" s="1298" t="s">
        <v>1323</v>
      </c>
      <c r="E764" s="1321">
        <v>230</v>
      </c>
      <c r="F764" s="1322">
        <v>180</v>
      </c>
      <c r="G764" s="776"/>
      <c r="H764" s="776"/>
      <c r="I764" s="776"/>
      <c r="J764" s="776"/>
      <c r="K764" s="212">
        <f t="shared" si="152"/>
        <v>1</v>
      </c>
      <c r="L764" s="494"/>
    </row>
    <row r="765" spans="1:12" ht="15.75">
      <c r="A765" s="9"/>
      <c r="B765" s="1287"/>
      <c r="C765" s="1288" t="s">
        <v>1324</v>
      </c>
      <c r="D765" s="1289" t="s">
        <v>1325</v>
      </c>
      <c r="E765" s="1323">
        <v>17510</v>
      </c>
      <c r="F765" s="1324">
        <v>5048</v>
      </c>
      <c r="G765" s="776"/>
      <c r="H765" s="776"/>
      <c r="I765" s="776"/>
      <c r="J765" s="776"/>
      <c r="K765" s="212">
        <f t="shared" si="152"/>
        <v>1</v>
      </c>
      <c r="L765" s="494"/>
    </row>
    <row r="766" spans="1:12" ht="15.75">
      <c r="A766" s="9"/>
      <c r="B766" s="1290"/>
      <c r="C766" s="1299" t="s">
        <v>1326</v>
      </c>
      <c r="D766" s="1300" t="s">
        <v>1327</v>
      </c>
      <c r="E766" s="1325">
        <v>28960</v>
      </c>
      <c r="F766" s="1326">
        <v>9102</v>
      </c>
      <c r="G766" s="776"/>
      <c r="H766" s="776"/>
      <c r="I766" s="776"/>
      <c r="J766" s="776"/>
      <c r="K766" s="212">
        <f t="shared" si="152"/>
        <v>1</v>
      </c>
      <c r="L766" s="494"/>
    </row>
    <row r="767" spans="1:12" ht="15.75">
      <c r="A767" s="9"/>
      <c r="B767" s="1296"/>
      <c r="C767" s="1294" t="s">
        <v>1328</v>
      </c>
      <c r="D767" s="1295" t="s">
        <v>1329</v>
      </c>
      <c r="E767" s="1327">
        <v>16265</v>
      </c>
      <c r="F767" s="1328">
        <v>4575</v>
      </c>
      <c r="G767" s="776"/>
      <c r="H767" s="776"/>
      <c r="I767" s="776"/>
      <c r="J767" s="776"/>
      <c r="K767" s="212">
        <f t="shared" si="152"/>
        <v>1</v>
      </c>
      <c r="L767" s="494"/>
    </row>
    <row r="768" spans="1:12" ht="15.75">
      <c r="A768" s="9"/>
      <c r="B768" s="1287"/>
      <c r="C768" s="1288" t="s">
        <v>1330</v>
      </c>
      <c r="D768" s="1289" t="s">
        <v>1331</v>
      </c>
      <c r="E768" s="1319">
        <v>32</v>
      </c>
      <c r="F768" s="1320">
        <v>32</v>
      </c>
      <c r="G768" s="776"/>
      <c r="H768" s="776"/>
      <c r="I768" s="776"/>
      <c r="J768" s="776"/>
      <c r="K768" s="212">
        <f t="shared" si="152"/>
        <v>1</v>
      </c>
      <c r="L768" s="494"/>
    </row>
    <row r="769" spans="1:12" ht="15.75">
      <c r="A769" s="9"/>
      <c r="B769" s="1290"/>
      <c r="C769" s="1299" t="s">
        <v>1332</v>
      </c>
      <c r="D769" s="1300" t="s">
        <v>1333</v>
      </c>
      <c r="E769" s="1329">
        <v>23</v>
      </c>
      <c r="F769" s="1330">
        <v>23</v>
      </c>
      <c r="G769" s="776"/>
      <c r="H769" s="776"/>
      <c r="I769" s="776"/>
      <c r="J769" s="776"/>
      <c r="K769" s="212">
        <f t="shared" si="152"/>
        <v>1</v>
      </c>
      <c r="L769" s="494"/>
    </row>
    <row r="770" spans="1:12" ht="15.75">
      <c r="A770" s="9"/>
      <c r="B770" s="1296"/>
      <c r="C770" s="1294" t="s">
        <v>1334</v>
      </c>
      <c r="D770" s="1295" t="s">
        <v>1335</v>
      </c>
      <c r="E770" s="1317"/>
      <c r="F770" s="1318"/>
      <c r="G770" s="776"/>
      <c r="H770" s="776"/>
      <c r="I770" s="776"/>
      <c r="J770" s="776"/>
      <c r="K770" s="212">
        <f t="shared" si="152"/>
      </c>
      <c r="L770" s="494"/>
    </row>
    <row r="771" spans="1:12" ht="15.75">
      <c r="A771" s="9"/>
      <c r="B771" s="1287"/>
      <c r="C771" s="1288" t="s">
        <v>1336</v>
      </c>
      <c r="D771" s="1289" t="s">
        <v>571</v>
      </c>
      <c r="E771" s="1319"/>
      <c r="F771" s="1320"/>
      <c r="G771" s="776"/>
      <c r="H771" s="776"/>
      <c r="I771" s="776"/>
      <c r="J771" s="776"/>
      <c r="K771" s="212">
        <f t="shared" si="152"/>
      </c>
      <c r="L771" s="494"/>
    </row>
    <row r="772" spans="1:12" ht="31.5">
      <c r="A772" s="9"/>
      <c r="B772" s="1287"/>
      <c r="C772" s="1288" t="s">
        <v>572</v>
      </c>
      <c r="D772" s="1289" t="s">
        <v>1547</v>
      </c>
      <c r="E772" s="1331"/>
      <c r="F772" s="1332"/>
      <c r="G772" s="776"/>
      <c r="H772" s="776"/>
      <c r="I772" s="776"/>
      <c r="J772" s="776"/>
      <c r="K772" s="212">
        <f t="shared" si="152"/>
      </c>
      <c r="L772" s="494"/>
    </row>
    <row r="773" spans="1:12" ht="15.75">
      <c r="A773" s="9"/>
      <c r="B773" s="1287"/>
      <c r="C773" s="1288" t="s">
        <v>573</v>
      </c>
      <c r="D773" s="1289" t="s">
        <v>1545</v>
      </c>
      <c r="E773" s="1319"/>
      <c r="F773" s="1320"/>
      <c r="G773" s="776"/>
      <c r="H773" s="776"/>
      <c r="I773" s="776"/>
      <c r="J773" s="776"/>
      <c r="K773" s="212">
        <f t="shared" si="152"/>
      </c>
      <c r="L773" s="494"/>
    </row>
    <row r="774" spans="1:12" ht="31.5">
      <c r="A774" s="9"/>
      <c r="B774" s="1287"/>
      <c r="C774" s="1288" t="s">
        <v>574</v>
      </c>
      <c r="D774" s="1289" t="s">
        <v>1546</v>
      </c>
      <c r="E774" s="1319"/>
      <c r="F774" s="1320"/>
      <c r="G774" s="776"/>
      <c r="H774" s="776"/>
      <c r="I774" s="776"/>
      <c r="J774" s="776"/>
      <c r="K774" s="212">
        <f t="shared" si="152"/>
      </c>
      <c r="L774" s="494"/>
    </row>
    <row r="775" spans="1:12" ht="31.5">
      <c r="A775" s="9"/>
      <c r="B775" s="1287"/>
      <c r="C775" s="1288" t="s">
        <v>575</v>
      </c>
      <c r="D775" s="1289" t="s">
        <v>576</v>
      </c>
      <c r="E775" s="1319"/>
      <c r="F775" s="1320"/>
      <c r="G775" s="776"/>
      <c r="H775" s="776"/>
      <c r="I775" s="776"/>
      <c r="J775" s="776"/>
      <c r="K775" s="212">
        <f t="shared" si="152"/>
      </c>
      <c r="L775" s="494"/>
    </row>
    <row r="776" spans="1:12" ht="15.75">
      <c r="A776" s="9"/>
      <c r="B776" s="1287"/>
      <c r="C776" s="1288" t="s">
        <v>577</v>
      </c>
      <c r="D776" s="1289" t="s">
        <v>578</v>
      </c>
      <c r="E776" s="1319"/>
      <c r="F776" s="1320"/>
      <c r="G776" s="776"/>
      <c r="H776" s="776"/>
      <c r="I776" s="776"/>
      <c r="J776" s="776"/>
      <c r="K776" s="212">
        <f t="shared" si="152"/>
      </c>
      <c r="L776" s="494"/>
    </row>
    <row r="777" spans="1:12" ht="15.75">
      <c r="A777" s="11"/>
      <c r="B777" s="1287"/>
      <c r="C777" s="1288" t="s">
        <v>579</v>
      </c>
      <c r="D777" s="1289" t="s">
        <v>580</v>
      </c>
      <c r="E777" s="1319"/>
      <c r="F777" s="1320"/>
      <c r="G777" s="776"/>
      <c r="H777" s="776"/>
      <c r="I777" s="776"/>
      <c r="J777" s="776"/>
      <c r="K777" s="212">
        <f t="shared" si="152"/>
      </c>
      <c r="L777" s="494"/>
    </row>
    <row r="778" spans="1:12" ht="15.75">
      <c r="A778" s="11">
        <v>905</v>
      </c>
      <c r="B778" s="1287"/>
      <c r="C778" s="1288" t="s">
        <v>581</v>
      </c>
      <c r="D778" s="1289" t="s">
        <v>582</v>
      </c>
      <c r="E778" s="1319"/>
      <c r="F778" s="1320"/>
      <c r="G778" s="776"/>
      <c r="H778" s="776"/>
      <c r="I778" s="776"/>
      <c r="J778" s="776"/>
      <c r="K778" s="212">
        <f t="shared" si="152"/>
      </c>
      <c r="L778" s="494"/>
    </row>
    <row r="779" spans="1:12" ht="15.75">
      <c r="A779" s="11">
        <v>906</v>
      </c>
      <c r="B779" s="1287"/>
      <c r="C779" s="1288" t="s">
        <v>583</v>
      </c>
      <c r="D779" s="1289" t="s">
        <v>584</v>
      </c>
      <c r="E779" s="1319"/>
      <c r="F779" s="1320"/>
      <c r="G779" s="776"/>
      <c r="H779" s="776"/>
      <c r="I779" s="776"/>
      <c r="J779" s="776"/>
      <c r="K779" s="212">
        <f t="shared" si="152"/>
      </c>
      <c r="L779" s="494"/>
    </row>
    <row r="780" spans="1:12" ht="16.5" thickBot="1">
      <c r="A780" s="11">
        <v>907</v>
      </c>
      <c r="B780" s="1301"/>
      <c r="C780" s="1302" t="s">
        <v>585</v>
      </c>
      <c r="D780" s="1303" t="s">
        <v>586</v>
      </c>
      <c r="E780" s="1333"/>
      <c r="F780" s="1334"/>
      <c r="G780" s="776"/>
      <c r="H780" s="776"/>
      <c r="I780" s="776"/>
      <c r="J780" s="776"/>
      <c r="K780" s="212">
        <f t="shared" si="152"/>
      </c>
      <c r="L780" s="494"/>
    </row>
    <row r="781" spans="2:12" ht="32.25" thickTop="1">
      <c r="B781" s="1282" t="s">
        <v>1308</v>
      </c>
      <c r="C781" s="1283" t="s">
        <v>2162</v>
      </c>
      <c r="D781" s="1284" t="s">
        <v>2163</v>
      </c>
      <c r="E781" s="1285" t="s">
        <v>1311</v>
      </c>
      <c r="F781" s="1286" t="s">
        <v>1312</v>
      </c>
      <c r="G781" s="776"/>
      <c r="H781" s="776"/>
      <c r="I781" s="776"/>
      <c r="J781" s="776"/>
      <c r="K781" s="212">
        <f>(IF($E782&lt;&gt;0,$K$2,IF($F782&lt;&gt;0,$K$2,"")))</f>
        <v>1</v>
      </c>
      <c r="L781" s="494"/>
    </row>
    <row r="782" spans="2:12" ht="36" customHeight="1">
      <c r="B782" s="1287"/>
      <c r="C782" s="1288" t="s">
        <v>2165</v>
      </c>
      <c r="D782" s="1289" t="s">
        <v>2172</v>
      </c>
      <c r="E782" s="788">
        <f>E783+E784</f>
        <v>1433900</v>
      </c>
      <c r="F782" s="789">
        <f>F783+F784</f>
        <v>38108</v>
      </c>
      <c r="G782" s="776"/>
      <c r="H782" s="776"/>
      <c r="I782" s="776"/>
      <c r="J782" s="776"/>
      <c r="K782" s="212">
        <f t="shared" si="152"/>
        <v>1</v>
      </c>
      <c r="L782" s="494"/>
    </row>
    <row r="783" spans="2:12" ht="15.75">
      <c r="B783" s="1287"/>
      <c r="C783" s="2002" t="s">
        <v>2166</v>
      </c>
      <c r="D783" s="2004" t="s">
        <v>2170</v>
      </c>
      <c r="E783" s="1319">
        <v>413900</v>
      </c>
      <c r="F783" s="1320">
        <v>38108</v>
      </c>
      <c r="G783" s="776"/>
      <c r="H783" s="776"/>
      <c r="I783" s="776"/>
      <c r="J783" s="776"/>
      <c r="K783" s="212">
        <f t="shared" si="152"/>
        <v>1</v>
      </c>
      <c r="L783" s="494"/>
    </row>
    <row r="784" spans="2:12" ht="16.5" thickBot="1">
      <c r="B784" s="1301"/>
      <c r="C784" s="2003" t="s">
        <v>2167</v>
      </c>
      <c r="D784" s="2005" t="s">
        <v>2171</v>
      </c>
      <c r="E784" s="1333">
        <v>1020000</v>
      </c>
      <c r="F784" s="1334"/>
      <c r="G784" s="776"/>
      <c r="H784" s="776"/>
      <c r="I784" s="776"/>
      <c r="J784" s="776"/>
      <c r="K784" s="212">
        <f t="shared" si="152"/>
        <v>1</v>
      </c>
      <c r="L784" s="494"/>
    </row>
    <row r="785" spans="2:12" ht="16.5" thickTop="1">
      <c r="B785" s="1304" t="s">
        <v>887</v>
      </c>
      <c r="C785" s="1305"/>
      <c r="D785" s="1306"/>
      <c r="E785" s="776"/>
      <c r="F785" s="776"/>
      <c r="G785" s="776"/>
      <c r="H785" s="776"/>
      <c r="I785" s="776"/>
      <c r="J785" s="776"/>
      <c r="K785" s="4">
        <f>K745</f>
        <v>1</v>
      </c>
      <c r="L785" s="494"/>
    </row>
  </sheetData>
  <sheetProtection password="81B0" sheet="1" scenarios="1"/>
  <mergeCells count="135">
    <mergeCell ref="I9:J9"/>
    <mergeCell ref="I10:J12"/>
    <mergeCell ref="G605:J605"/>
    <mergeCell ref="G603:J603"/>
    <mergeCell ref="G606:J606"/>
    <mergeCell ref="B606:C606"/>
    <mergeCell ref="G602:J602"/>
    <mergeCell ref="C467:D467"/>
    <mergeCell ref="C470:D470"/>
    <mergeCell ref="C473:D473"/>
    <mergeCell ref="C480:D480"/>
    <mergeCell ref="C483:D483"/>
    <mergeCell ref="C593:D593"/>
    <mergeCell ref="C588:D588"/>
    <mergeCell ref="C568:D568"/>
    <mergeCell ref="C505:D505"/>
    <mergeCell ref="C526:D526"/>
    <mergeCell ref="C514:D514"/>
    <mergeCell ref="C538:D538"/>
    <mergeCell ref="C518:D518"/>
    <mergeCell ref="C523:D523"/>
    <mergeCell ref="C543:D543"/>
    <mergeCell ref="C546:D546"/>
    <mergeCell ref="C427:D427"/>
    <mergeCell ref="C408:D408"/>
    <mergeCell ref="C411:D411"/>
    <mergeCell ref="C537:D537"/>
    <mergeCell ref="C463:D463"/>
    <mergeCell ref="C499:D499"/>
    <mergeCell ref="C504:D504"/>
    <mergeCell ref="C533:D533"/>
    <mergeCell ref="B456:D456"/>
    <mergeCell ref="B453:D453"/>
    <mergeCell ref="B437:D437"/>
    <mergeCell ref="B440:D440"/>
    <mergeCell ref="B451:D451"/>
    <mergeCell ref="C393:D393"/>
    <mergeCell ref="C425:D425"/>
    <mergeCell ref="C428:D428"/>
    <mergeCell ref="B435:D435"/>
    <mergeCell ref="C407:D407"/>
    <mergeCell ref="C414:D414"/>
    <mergeCell ref="C426:D426"/>
    <mergeCell ref="C401:D401"/>
    <mergeCell ref="C404:D404"/>
    <mergeCell ref="C398:D398"/>
    <mergeCell ref="B310:D310"/>
    <mergeCell ref="B355:D355"/>
    <mergeCell ref="C363:D363"/>
    <mergeCell ref="B350:D350"/>
    <mergeCell ref="B352:D352"/>
    <mergeCell ref="C390:D390"/>
    <mergeCell ref="C267:D267"/>
    <mergeCell ref="C272:D272"/>
    <mergeCell ref="C273:D273"/>
    <mergeCell ref="C295:D295"/>
    <mergeCell ref="C377:D377"/>
    <mergeCell ref="C385:D385"/>
    <mergeCell ref="C260:D260"/>
    <mergeCell ref="C191:D191"/>
    <mergeCell ref="C197:D197"/>
    <mergeCell ref="C206:D206"/>
    <mergeCell ref="C228:D228"/>
    <mergeCell ref="C234:D234"/>
    <mergeCell ref="C237:D237"/>
    <mergeCell ref="C241:D241"/>
    <mergeCell ref="C240:D240"/>
    <mergeCell ref="C258:D258"/>
    <mergeCell ref="C274:D274"/>
    <mergeCell ref="C277:D277"/>
    <mergeCell ref="C278:D278"/>
    <mergeCell ref="B180:D180"/>
    <mergeCell ref="C271:D271"/>
    <mergeCell ref="C238:D238"/>
    <mergeCell ref="C239:D239"/>
    <mergeCell ref="C224:D224"/>
    <mergeCell ref="C205:D205"/>
    <mergeCell ref="C259:D259"/>
    <mergeCell ref="H609:J609"/>
    <mergeCell ref="H607:J607"/>
    <mergeCell ref="C286:D286"/>
    <mergeCell ref="C289:D289"/>
    <mergeCell ref="C290:D290"/>
    <mergeCell ref="B607:C607"/>
    <mergeCell ref="B313:D313"/>
    <mergeCell ref="B346:D346"/>
    <mergeCell ref="C424:D424"/>
    <mergeCell ref="B308:D308"/>
    <mergeCell ref="B7:D7"/>
    <mergeCell ref="B9:D9"/>
    <mergeCell ref="B12:D12"/>
    <mergeCell ref="C22:D22"/>
    <mergeCell ref="C28:D28"/>
    <mergeCell ref="C33:D33"/>
    <mergeCell ref="B613:D613"/>
    <mergeCell ref="B615:D615"/>
    <mergeCell ref="B618:D618"/>
    <mergeCell ref="C629:D629"/>
    <mergeCell ref="C39:D39"/>
    <mergeCell ref="C188:D188"/>
    <mergeCell ref="B175:D175"/>
    <mergeCell ref="B177:D177"/>
    <mergeCell ref="C257:D257"/>
    <mergeCell ref="C299:D299"/>
    <mergeCell ref="C665:D665"/>
    <mergeCell ref="C669:D669"/>
    <mergeCell ref="C675:D675"/>
    <mergeCell ref="C678:D678"/>
    <mergeCell ref="C632:D632"/>
    <mergeCell ref="C638:D638"/>
    <mergeCell ref="C646:D646"/>
    <mergeCell ref="C647:D647"/>
    <mergeCell ref="C698:D698"/>
    <mergeCell ref="C699:D699"/>
    <mergeCell ref="C700:D700"/>
    <mergeCell ref="C701:D701"/>
    <mergeCell ref="C679:D679"/>
    <mergeCell ref="C680:D680"/>
    <mergeCell ref="C681:D681"/>
    <mergeCell ref="C682:D682"/>
    <mergeCell ref="C715:D715"/>
    <mergeCell ref="C718:D718"/>
    <mergeCell ref="C719:D719"/>
    <mergeCell ref="C727:D727"/>
    <mergeCell ref="C708:D708"/>
    <mergeCell ref="C712:D712"/>
    <mergeCell ref="C713:D713"/>
    <mergeCell ref="C714:D714"/>
    <mergeCell ref="B749:D749"/>
    <mergeCell ref="B751:D751"/>
    <mergeCell ref="B754:D754"/>
    <mergeCell ref="C730:D730"/>
    <mergeCell ref="C731:D731"/>
    <mergeCell ref="C736:D736"/>
    <mergeCell ref="C741:D741"/>
  </mergeCells>
  <conditionalFormatting sqref="E449:J449">
    <cfRule type="cellIs" priority="234" dxfId="160" operator="notEqual" stopIfTrue="1">
      <formula>0</formula>
    </cfRule>
  </conditionalFormatting>
  <conditionalFormatting sqref="F594:F597">
    <cfRule type="cellIs" priority="232" dxfId="161" operator="notEqual" stopIfTrue="1">
      <formula>0</formula>
    </cfRule>
  </conditionalFormatting>
  <conditionalFormatting sqref="E315 E756:F756 E620">
    <cfRule type="cellIs" priority="164" dxfId="149" operator="equal" stopIfTrue="1">
      <formula>98</formula>
    </cfRule>
    <cfRule type="cellIs" priority="165" dxfId="150" operator="equal" stopIfTrue="1">
      <formula>96</formula>
    </cfRule>
    <cfRule type="cellIs" priority="166" dxfId="151" operator="equal" stopIfTrue="1">
      <formula>42</formula>
    </cfRule>
    <cfRule type="cellIs" priority="167" dxfId="152" operator="equal" stopIfTrue="1">
      <formula>97</formula>
    </cfRule>
    <cfRule type="cellIs" priority="168" dxfId="153" operator="equal" stopIfTrue="1">
      <formula>33</formula>
    </cfRule>
  </conditionalFormatting>
  <conditionalFormatting sqref="F180 F618 F754">
    <cfRule type="cellIs" priority="158" dxfId="162" operator="equal" stopIfTrue="1">
      <formula>0</formula>
    </cfRule>
  </conditionalFormatting>
  <conditionalFormatting sqref="F313">
    <cfRule type="cellIs" priority="157" dxfId="162" operator="equal" stopIfTrue="1">
      <formula>0</formula>
    </cfRule>
  </conditionalFormatting>
  <conditionalFormatting sqref="F355">
    <cfRule type="cellIs" priority="156" dxfId="162" operator="equal" stopIfTrue="1">
      <formula>0</formula>
    </cfRule>
  </conditionalFormatting>
  <conditionalFormatting sqref="F440">
    <cfRule type="cellIs" priority="155" dxfId="162" operator="equal" stopIfTrue="1">
      <formula>0</formula>
    </cfRule>
  </conditionalFormatting>
  <conditionalFormatting sqref="F456">
    <cfRule type="cellIs" priority="154" dxfId="162" operator="equal" stopIfTrue="1">
      <formula>0</formula>
    </cfRule>
  </conditionalFormatting>
  <conditionalFormatting sqref="E600:J600">
    <cfRule type="cellIs" priority="153" dxfId="160" operator="notEqual" stopIfTrue="1">
      <formula>0</formula>
    </cfRule>
  </conditionalFormatting>
  <conditionalFormatting sqref="E15">
    <cfRule type="cellIs" priority="115" dxfId="149" operator="equal" stopIfTrue="1">
      <formula>98</formula>
    </cfRule>
    <cfRule type="cellIs" priority="117" dxfId="150" operator="equal" stopIfTrue="1">
      <formula>96</formula>
    </cfRule>
    <cfRule type="cellIs" priority="118" dxfId="151" operator="equal" stopIfTrue="1">
      <formula>42</formula>
    </cfRule>
    <cfRule type="cellIs" priority="119" dxfId="152" operator="equal" stopIfTrue="1">
      <formula>97</formula>
    </cfRule>
    <cfRule type="cellIs" priority="120" dxfId="153" operator="equal" stopIfTrue="1">
      <formula>33</formula>
    </cfRule>
  </conditionalFormatting>
  <conditionalFormatting sqref="F15 F620">
    <cfRule type="cellIs" priority="111" dxfId="153" operator="equal" stopIfTrue="1">
      <formula>"ЧУЖДИ СРЕДСТВА"</formula>
    </cfRule>
    <cfRule type="cellIs" priority="112" dxfId="152" operator="equal" stopIfTrue="1">
      <formula>"СЕС - ДМП"</formula>
    </cfRule>
    <cfRule type="cellIs" priority="113" dxfId="151" operator="equal" stopIfTrue="1">
      <formula>"СЕС - РА"</formula>
    </cfRule>
    <cfRule type="cellIs" priority="114" dxfId="150" operator="equal" stopIfTrue="1">
      <formula>"СЕС - ДЕС"</formula>
    </cfRule>
    <cfRule type="cellIs" priority="116" dxfId="149" operator="equal" stopIfTrue="1">
      <formula>"СЕС - КСФ"</formula>
    </cfRule>
  </conditionalFormatting>
  <conditionalFormatting sqref="E182">
    <cfRule type="cellIs" priority="105" dxfId="149" operator="equal" stopIfTrue="1">
      <formula>98</formula>
    </cfRule>
    <cfRule type="cellIs" priority="107" dxfId="150" operator="equal" stopIfTrue="1">
      <formula>96</formula>
    </cfRule>
    <cfRule type="cellIs" priority="108" dxfId="151" operator="equal" stopIfTrue="1">
      <formula>42</formula>
    </cfRule>
    <cfRule type="cellIs" priority="109" dxfId="152" operator="equal" stopIfTrue="1">
      <formula>97</formula>
    </cfRule>
    <cfRule type="cellIs" priority="110" dxfId="153" operator="equal" stopIfTrue="1">
      <formula>33</formula>
    </cfRule>
  </conditionalFormatting>
  <conditionalFormatting sqref="E357">
    <cfRule type="cellIs" priority="95" dxfId="149" operator="equal" stopIfTrue="1">
      <formula>98</formula>
    </cfRule>
    <cfRule type="cellIs" priority="97" dxfId="150" operator="equal" stopIfTrue="1">
      <formula>96</formula>
    </cfRule>
    <cfRule type="cellIs" priority="98" dxfId="151" operator="equal" stopIfTrue="1">
      <formula>42</formula>
    </cfRule>
    <cfRule type="cellIs" priority="99" dxfId="152" operator="equal" stopIfTrue="1">
      <formula>97</formula>
    </cfRule>
    <cfRule type="cellIs" priority="100" dxfId="153" operator="equal" stopIfTrue="1">
      <formula>33</formula>
    </cfRule>
  </conditionalFormatting>
  <conditionalFormatting sqref="E442">
    <cfRule type="cellIs" priority="85" dxfId="149" operator="equal" stopIfTrue="1">
      <formula>98</formula>
    </cfRule>
    <cfRule type="cellIs" priority="87" dxfId="150" operator="equal" stopIfTrue="1">
      <formula>96</formula>
    </cfRule>
    <cfRule type="cellIs" priority="88" dxfId="151" operator="equal" stopIfTrue="1">
      <formula>42</formula>
    </cfRule>
    <cfRule type="cellIs" priority="89" dxfId="152" operator="equal" stopIfTrue="1">
      <formula>97</formula>
    </cfRule>
    <cfRule type="cellIs" priority="90" dxfId="153" operator="equal" stopIfTrue="1">
      <formula>33</formula>
    </cfRule>
  </conditionalFormatting>
  <conditionalFormatting sqref="E458">
    <cfRule type="cellIs" priority="75" dxfId="149" operator="equal" stopIfTrue="1">
      <formula>98</formula>
    </cfRule>
    <cfRule type="cellIs" priority="77" dxfId="150" operator="equal" stopIfTrue="1">
      <formula>96</formula>
    </cfRule>
    <cfRule type="cellIs" priority="78" dxfId="151" operator="equal" stopIfTrue="1">
      <formula>42</formula>
    </cfRule>
    <cfRule type="cellIs" priority="79" dxfId="152" operator="equal" stopIfTrue="1">
      <formula>97</formula>
    </cfRule>
    <cfRule type="cellIs" priority="80" dxfId="153" operator="equal" stopIfTrue="1">
      <formula>33</formula>
    </cfRule>
  </conditionalFormatting>
  <conditionalFormatting sqref="F182">
    <cfRule type="cellIs" priority="66" dxfId="153" operator="equal" stopIfTrue="1">
      <formula>"ЧУЖДИ СРЕДСТВА"</formula>
    </cfRule>
    <cfRule type="cellIs" priority="67" dxfId="152" operator="equal" stopIfTrue="1">
      <formula>"СЕС - ДМП"</formula>
    </cfRule>
    <cfRule type="cellIs" priority="68" dxfId="151" operator="equal" stopIfTrue="1">
      <formula>"СЕС - РА"</formula>
    </cfRule>
    <cfRule type="cellIs" priority="69" dxfId="150" operator="equal" stopIfTrue="1">
      <formula>"СЕС - ДЕС"</formula>
    </cfRule>
    <cfRule type="cellIs" priority="70" dxfId="149" operator="equal" stopIfTrue="1">
      <formula>"СЕС - КСФ"</formula>
    </cfRule>
  </conditionalFormatting>
  <conditionalFormatting sqref="F315">
    <cfRule type="cellIs" priority="61" dxfId="153" operator="equal" stopIfTrue="1">
      <formula>"ЧУЖДИ СРЕДСТВА"</formula>
    </cfRule>
    <cfRule type="cellIs" priority="62" dxfId="152" operator="equal" stopIfTrue="1">
      <formula>"СЕС - ДМП"</formula>
    </cfRule>
    <cfRule type="cellIs" priority="63" dxfId="151" operator="equal" stopIfTrue="1">
      <formula>"СЕС - РА"</formula>
    </cfRule>
    <cfRule type="cellIs" priority="64" dxfId="150" operator="equal" stopIfTrue="1">
      <formula>"СЕС - ДЕС"</formula>
    </cfRule>
    <cfRule type="cellIs" priority="65" dxfId="149" operator="equal" stopIfTrue="1">
      <formula>"СЕС - КСФ"</formula>
    </cfRule>
  </conditionalFormatting>
  <conditionalFormatting sqref="F357">
    <cfRule type="cellIs" priority="56" dxfId="153" operator="equal" stopIfTrue="1">
      <formula>"ЧУЖДИ СРЕДСТВА"</formula>
    </cfRule>
    <cfRule type="cellIs" priority="57" dxfId="152" operator="equal" stopIfTrue="1">
      <formula>"СЕС - ДМП"</formula>
    </cfRule>
    <cfRule type="cellIs" priority="58" dxfId="151" operator="equal" stopIfTrue="1">
      <formula>"СЕС - РА"</formula>
    </cfRule>
    <cfRule type="cellIs" priority="59" dxfId="150" operator="equal" stopIfTrue="1">
      <formula>"СЕС - ДЕС"</formula>
    </cfRule>
    <cfRule type="cellIs" priority="60" dxfId="149" operator="equal" stopIfTrue="1">
      <formula>"СЕС - КСФ"</formula>
    </cfRule>
  </conditionalFormatting>
  <conditionalFormatting sqref="F442">
    <cfRule type="cellIs" priority="51" dxfId="153" operator="equal" stopIfTrue="1">
      <formula>"ЧУЖДИ СРЕДСТВА"</formula>
    </cfRule>
    <cfRule type="cellIs" priority="52" dxfId="152" operator="equal" stopIfTrue="1">
      <formula>"СЕС - ДМП"</formula>
    </cfRule>
    <cfRule type="cellIs" priority="53" dxfId="151" operator="equal" stopIfTrue="1">
      <formula>"СЕС - РА"</formula>
    </cfRule>
    <cfRule type="cellIs" priority="54" dxfId="150" operator="equal" stopIfTrue="1">
      <formula>"СЕС - ДЕС"</formula>
    </cfRule>
    <cfRule type="cellIs" priority="55" dxfId="149" operator="equal" stopIfTrue="1">
      <formula>"СЕС - КСФ"</formula>
    </cfRule>
  </conditionalFormatting>
  <conditionalFormatting sqref="F458">
    <cfRule type="cellIs" priority="46" dxfId="153" operator="equal" stopIfTrue="1">
      <formula>"ЧУЖДИ СРЕДСТВА"</formula>
    </cfRule>
    <cfRule type="cellIs" priority="47" dxfId="152" operator="equal" stopIfTrue="1">
      <formula>"СЕС - ДМП"</formula>
    </cfRule>
    <cfRule type="cellIs" priority="48" dxfId="151" operator="equal" stopIfTrue="1">
      <formula>"СЕС - РА"</formula>
    </cfRule>
    <cfRule type="cellIs" priority="49" dxfId="150" operator="equal" stopIfTrue="1">
      <formula>"СЕС - ДЕС"</formula>
    </cfRule>
    <cfRule type="cellIs" priority="50" dxfId="149" operator="equal" stopIfTrue="1">
      <formula>"СЕС - КСФ"</formula>
    </cfRule>
  </conditionalFormatting>
  <conditionalFormatting sqref="D449">
    <cfRule type="cellIs" priority="45" dxfId="143" operator="notEqual" stopIfTrue="1">
      <formula>0</formula>
    </cfRule>
  </conditionalFormatting>
  <conditionalFormatting sqref="D600">
    <cfRule type="cellIs" priority="44" dxfId="143" operator="notEqual" stopIfTrue="1">
      <formula>0</formula>
    </cfRule>
  </conditionalFormatting>
  <conditionalFormatting sqref="B589">
    <cfRule type="cellIs" priority="34" dxfId="148" operator="notEqual" stopIfTrue="1">
      <formula>0</formula>
    </cfRule>
  </conditionalFormatting>
  <conditionalFormatting sqref="E590">
    <cfRule type="expression" priority="25" dxfId="148" stopIfTrue="1">
      <formula>AND($F$12&lt;&gt;"9900",E590&lt;0)</formula>
    </cfRule>
  </conditionalFormatting>
  <conditionalFormatting sqref="E591">
    <cfRule type="expression" priority="24" dxfId="148" stopIfTrue="1">
      <formula>AND($F$12&lt;&gt;"9900",E591&gt;0)</formula>
    </cfRule>
  </conditionalFormatting>
  <conditionalFormatting sqref="B590">
    <cfRule type="cellIs" priority="23" dxfId="148" operator="notEqual" stopIfTrue="1">
      <formula>0</formula>
    </cfRule>
  </conditionalFormatting>
  <conditionalFormatting sqref="B591">
    <cfRule type="cellIs" priority="22" dxfId="148" operator="notEqual" stopIfTrue="1">
      <formula>0</formula>
    </cfRule>
  </conditionalFormatting>
  <conditionalFormatting sqref="B592">
    <cfRule type="cellIs" priority="21" dxfId="148" operator="notEqual" stopIfTrue="1">
      <formula>0</formula>
    </cfRule>
  </conditionalFormatting>
  <conditionalFormatting sqref="E592">
    <cfRule type="expression" priority="20" dxfId="148" stopIfTrue="1">
      <formula>AND($F$12&lt;&gt;"9900",E592&gt;0)</formula>
    </cfRule>
  </conditionalFormatting>
  <conditionalFormatting sqref="M569:M580">
    <cfRule type="cellIs" priority="18" dxfId="148" operator="notEqual" stopIfTrue="1">
      <formula>0</formula>
    </cfRule>
  </conditionalFormatting>
  <conditionalFormatting sqref="B570:B574">
    <cfRule type="cellIs" priority="17" dxfId="148" operator="notEqual" stopIfTrue="1">
      <formula>0</formula>
    </cfRule>
  </conditionalFormatting>
  <conditionalFormatting sqref="B583:B584">
    <cfRule type="cellIs" priority="16" dxfId="148" operator="notEqual" stopIfTrue="1">
      <formula>0</formula>
    </cfRule>
  </conditionalFormatting>
  <conditionalFormatting sqref="B575">
    <cfRule type="cellIs" priority="15" dxfId="148" operator="notEqual" stopIfTrue="1">
      <formula>0</formula>
    </cfRule>
  </conditionalFormatting>
  <conditionalFormatting sqref="B576:B580">
    <cfRule type="cellIs" priority="14" dxfId="148" operator="notEqual" stopIfTrue="1">
      <formula>0</formula>
    </cfRule>
  </conditionalFormatting>
  <conditionalFormatting sqref="B585:B586">
    <cfRule type="cellIs" priority="13" dxfId="148" operator="notEqual" stopIfTrue="1">
      <formula>0</formula>
    </cfRule>
  </conditionalFormatting>
  <conditionalFormatting sqref="M585">
    <cfRule type="cellIs" priority="6" dxfId="148" operator="notEqual" stopIfTrue="1">
      <formula>0</formula>
    </cfRule>
  </conditionalFormatting>
  <conditionalFormatting sqref="M586">
    <cfRule type="cellIs" priority="5" dxfId="148" operator="notEqual" stopIfTrue="1">
      <formula>0</formula>
    </cfRule>
  </conditionalFormatting>
  <conditionalFormatting sqref="M583">
    <cfRule type="cellIs" priority="4" dxfId="148" operator="notEqual" stopIfTrue="1">
      <formula>0</formula>
    </cfRule>
  </conditionalFormatting>
  <conditionalFormatting sqref="M584">
    <cfRule type="cellIs" priority="3" dxfId="148" operator="notEqual" stopIfTrue="1">
      <formula>0</formula>
    </cfRule>
  </conditionalFormatting>
  <conditionalFormatting sqref="M589:M592">
    <cfRule type="cellIs" priority="1" dxfId="148" operator="notEqual" stopIfTrue="1">
      <formula>0</formula>
    </cfRule>
  </conditionalFormatting>
  <conditionalFormatting sqref="D745">
    <cfRule type="cellIs" priority="299" dxfId="163" operator="equal" stopIfTrue="1">
      <formula>0</formula>
    </cfRule>
  </conditionalFormatting>
  <conditionalFormatting sqref="D627">
    <cfRule type="cellIs" priority="300" dxfId="18" operator="notEqual" stopIfTrue="1">
      <formula>"ИЗБЕРЕТЕ ДЕЙНОСТ"</formula>
    </cfRule>
  </conditionalFormatting>
  <conditionalFormatting sqref="C627">
    <cfRule type="cellIs" priority="301" dxfId="18" operator="notEqual" stopIfTrue="1">
      <formula>0</formula>
    </cfRule>
  </conditionalFormatting>
  <conditionalFormatting sqref="I9:J9">
    <cfRule type="cellIs" priority="36" dxfId="155" operator="between" stopIfTrue="1">
      <formula>1000000000000</formula>
      <formula>9999999999999990</formula>
    </cfRule>
    <cfRule type="cellIs" priority="37" dxfId="156" operator="between" stopIfTrue="1">
      <formula>10000000000</formula>
      <formula>999999999999</formula>
    </cfRule>
    <cfRule type="cellIs" priority="38" dxfId="157" operator="between" stopIfTrue="1">
      <formula>1000000</formula>
      <formula>99999999</formula>
    </cfRule>
    <cfRule type="cellIs" priority="39" dxfId="158" operator="between" stopIfTrue="1">
      <formula>100</formula>
      <formula>9999</formula>
    </cfRule>
  </conditionalFormatting>
  <dataValidations count="12">
    <dataValidation errorStyle="information" type="whole" operator="greaterThan" allowBlank="1" showInputMessage="1" showErrorMessage="1" error="Въвежда се положително число !" sqref="D383">
      <formula1>0</formula1>
    </dataValidation>
    <dataValidation errorStyle="information" type="whole" operator="lessThan" allowBlank="1" showInputMessage="1" showErrorMessage="1" error="Въвежда се отрицателно число !" sqref="E404:J404">
      <formula1>0</formula1>
    </dataValidation>
    <dataValidation type="whole" operator="lessThan" allowBlank="1" showInputMessage="1" showErrorMessage="1" error="Въвежда се цяло число!" sqref="E412:E413 E409:E410 E594:E597 E415:E420 G409:J410 G412:J413 G364:J376 G378:J384 G386:J389 G391:J392 G394:J397 G399:J400 G402:J403 G405:J407 G424:J427 G429:J430 G415:J420 G544:J545 E364:E376 E378:E384 E386:E389 E391:E392 E394:E397 E399:E400 E402:E403 E405:E407 G464:J466 G468:J469 G471:J472 G474:J479 G481:J482 G484:J498 G500:J504 G506:J513 G515:J517 G519:J522 G524:J525 G527:J532 G534:J537 G539:J542 G547:J567 G594:J598 G589:J592 G569:J587 E716:J718 E648:J664 E728:J730 E741:J741 E633:J637 E737:J739 E676:J681 E639:J646 E692:J700 E720:J726 E630:J631 E666:J668 E670:J674 E702:J707 E709:J714 E732:J735 E683:J690">
      <formula1>999999999999999000</formula1>
    </dataValidation>
    <dataValidation type="whole" operator="lessThan" allowBlank="1" showInputMessage="1" showErrorMessage="1" error="Въвежда се цяло яисло!" sqref="E424:E427 E429:E430 E464:E466 E468:E469 E471:E472 E474:E479 E481:E482 E484:E498 E500:E504 E506:E513 E544:E545 E519:E522 E527:E532 E534:E537 E598 E524:E525 E547:E567 E589:E592 E515:E517 E539:E542 E569:E587">
      <formula1>999999999999999000000</formula1>
    </dataValidation>
    <dataValidation errorStyle="information" operator="lessThan" allowBlank="1" showInputMessage="1" showErrorMessage="1" error="Въвежда се отрицателно число !" sqref="D405:D406"/>
    <dataValidation type="list" allowBlank="1" showInputMessage="1" showErrorMessage="1" sqref="F9">
      <formula1>Date</formula1>
    </dataValidation>
    <dataValidation type="whole" operator="lessThan" allowBlank="1" showInputMessage="1" showErrorMessage="1" error="Въвежда се цяло число!" sqref="F58:J58 F364:F376 F378:F384 F386:F389 F391:F392 F394:F397 F399:F400 F402:F403 F405:F407 F409:F410 F412:F413 F415:F420 F424:F427 F429:F430 F464:F466 F468:F469 F471:F472 F474:F479 F481:F482 F484:F498 F500:F504 F506:F513 F515:F517 F519:F522 F524:F525 F527:F532 F534:F537 F539:F542 F547:F567 F589:F592 G76:J90 F594:F598 F544:F545 I52 G161 G23:J27 I22 F22:F57 G22 I61 I152 I161 G143 G152 I140 I143 G126 G140 I122 I126 G113 G122 I109 I113 G95 G109 I91 I95 G75 G91 I65 I75 G61 G65 G47 G52 I39 I47 G33 G39 G28 I28 I33 G29:J32 G34:J38 G40:J46 G48:J51 G53:J57 G59:J60 G62:J64 G66:J74 G92:J94 G96:J108 G110:J112 G162:J169 G123:J125 G127:J139 G141:J142 G144:J151 G153:J160 G114:J121 E22:E169 F59:F169 F570:F587">
      <formula1>99999999999999900</formula1>
    </dataValidation>
    <dataValidation type="list" allowBlank="1" showInputMessage="1" showErrorMessage="1" promptTitle="ВЪВЕДЕТЕ ДЕЙНОСТ" sqref="D627">
      <formula1>EBK_DEIN</formula1>
    </dataValidation>
    <dataValidation type="list" allowBlank="1" showDropDown="1" showInputMessage="1" showErrorMessage="1" prompt="Използва се само  за финансово-правна форма СЕС-КСФ (код 98)&#10;" sqref="D625">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5:F767"/>
    <dataValidation allowBlank="1" showInputMessage="1" showErrorMessage="1" prompt="Щатни бройки - без бройките за дейности, финансирани по единни разходни стандарти.&#10;&#10;" sqref="E759:F761"/>
    <dataValidation allowBlank="1" showInputMessage="1" showErrorMessage="1" prompt="Средногодишни щатни бройки - без бройките за дейности, финансирани по единни разходни стандарти.&#10;&#10;" sqref="E762:F764"/>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5"/>
  <sheetViews>
    <sheetView zoomScale="70" zoomScaleNormal="70" zoomScalePageLayoutView="0" workbookViewId="0" topLeftCell="U163">
      <selection activeCell="I12" sqref="I12:S186"/>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16384" width="9.125" style="33" customWidth="1"/>
  </cols>
  <sheetData>
    <row r="1" spans="1:9" ht="12.75">
      <c r="A1" s="29" t="s">
        <v>1353</v>
      </c>
      <c r="B1" s="29">
        <v>177</v>
      </c>
      <c r="I1" s="29"/>
    </row>
    <row r="2" spans="1:9" ht="12.75">
      <c r="A2" s="29" t="s">
        <v>1354</v>
      </c>
      <c r="B2" s="29" t="s">
        <v>1409</v>
      </c>
      <c r="I2" s="29"/>
    </row>
    <row r="3" spans="1:9" ht="12.75">
      <c r="A3" s="29" t="s">
        <v>1355</v>
      </c>
      <c r="B3" s="29" t="s">
        <v>1407</v>
      </c>
      <c r="I3" s="29"/>
    </row>
    <row r="4" spans="1:9" ht="15.75">
      <c r="A4" s="29" t="s">
        <v>1356</v>
      </c>
      <c r="B4" s="29" t="s">
        <v>2164</v>
      </c>
      <c r="C4" s="34"/>
      <c r="I4" s="29"/>
    </row>
    <row r="5" spans="1:3" ht="31.5" customHeight="1">
      <c r="A5" s="29" t="s">
        <v>1357</v>
      </c>
      <c r="B5" s="236"/>
      <c r="C5" s="236"/>
    </row>
    <row r="6" spans="1:2" ht="12.75">
      <c r="A6" s="35"/>
      <c r="B6" s="36"/>
    </row>
    <row r="8" spans="2:9" ht="12.75">
      <c r="B8" s="29" t="s">
        <v>1408</v>
      </c>
      <c r="I8" s="29"/>
    </row>
    <row r="9" ht="12.75">
      <c r="I9" s="29"/>
    </row>
    <row r="10" ht="12.75">
      <c r="I10" s="29"/>
    </row>
    <row r="11" spans="1:19" ht="18">
      <c r="A11" s="29" t="s">
        <v>1215</v>
      </c>
      <c r="H11" s="777"/>
      <c r="I11" s="37"/>
      <c r="J11" s="37"/>
      <c r="K11" s="37"/>
      <c r="L11" s="38"/>
      <c r="M11" s="38"/>
      <c r="N11" s="38"/>
      <c r="O11" s="209"/>
      <c r="P11" s="38"/>
      <c r="Q11" s="209"/>
      <c r="R11" s="39"/>
      <c r="S11" s="39"/>
    </row>
    <row r="12" spans="1:19" ht="15">
      <c r="A12" s="29">
        <v>1</v>
      </c>
      <c r="H12" s="777"/>
      <c r="I12" s="1123"/>
      <c r="J12" s="1123"/>
      <c r="K12" s="1142"/>
      <c r="L12" s="15"/>
      <c r="M12" s="15"/>
      <c r="N12" s="15"/>
      <c r="O12" s="15"/>
      <c r="P12" s="15"/>
      <c r="Q12" s="15"/>
      <c r="R12" s="1525">
        <f>(IF($E146&lt;&gt;0,$K$2,IF($F146&lt;&gt;0,$K$2,IF($G146&lt;&gt;0,$K$2,IF($H146&lt;&gt;0,$K$2,IF($I146&lt;&gt;0,$K$2,IF($J146&lt;&gt;0,$K$2,"")))))))</f>
        <v>0</v>
      </c>
      <c r="S12" s="494"/>
    </row>
    <row r="13" spans="1:19" ht="15">
      <c r="A13" s="29">
        <v>2</v>
      </c>
      <c r="H13" s="777"/>
      <c r="I13" s="1123"/>
      <c r="J13" s="1143"/>
      <c r="K13" s="1144"/>
      <c r="L13" s="15"/>
      <c r="M13" s="15"/>
      <c r="N13" s="15"/>
      <c r="O13" s="15"/>
      <c r="P13" s="15"/>
      <c r="Q13" s="15"/>
      <c r="R13" s="1525">
        <f>(IF($E146&lt;&gt;0,$K$2,IF($F146&lt;&gt;0,$K$2,IF($G146&lt;&gt;0,$K$2,IF($H146&lt;&gt;0,$K$2,IF($I146&lt;&gt;0,$K$2,IF($J146&lt;&gt;0,$K$2,"")))))))</f>
        <v>0</v>
      </c>
      <c r="S13" s="494"/>
    </row>
    <row r="14" spans="1:19" ht="20.25" customHeight="1">
      <c r="A14" s="29">
        <v>3</v>
      </c>
      <c r="H14" s="777"/>
      <c r="I14" s="2208">
        <f>$B$7</f>
        <v>0</v>
      </c>
      <c r="J14" s="2209"/>
      <c r="K14" s="2209"/>
      <c r="L14" s="1145"/>
      <c r="M14" s="1145"/>
      <c r="N14" s="1146"/>
      <c r="O14" s="1146"/>
      <c r="P14" s="1146"/>
      <c r="Q14" s="1146"/>
      <c r="R14" s="1525">
        <f>(IF($E146&lt;&gt;0,$K$2,IF($F146&lt;&gt;0,$K$2,IF($G146&lt;&gt;0,$K$2,IF($H146&lt;&gt;0,$K$2,IF($I146&lt;&gt;0,$K$2,IF($J146&lt;&gt;0,$K$2,"")))))))</f>
        <v>0</v>
      </c>
      <c r="S14" s="494"/>
    </row>
    <row r="15" spans="1:19" ht="18.75" customHeight="1">
      <c r="A15" s="29">
        <v>4</v>
      </c>
      <c r="H15" s="777"/>
      <c r="I15" s="774"/>
      <c r="J15" s="1121"/>
      <c r="K15" s="1147"/>
      <c r="L15" s="1148" t="s">
        <v>983</v>
      </c>
      <c r="M15" s="1148" t="s">
        <v>889</v>
      </c>
      <c r="N15" s="775"/>
      <c r="O15" s="1149" t="s">
        <v>1413</v>
      </c>
      <c r="P15" s="1150"/>
      <c r="Q15" s="1151"/>
      <c r="R15" s="1525">
        <f>(IF($E146&lt;&gt;0,$K$2,IF($F146&lt;&gt;0,$K$2,IF($G146&lt;&gt;0,$K$2,IF($H146&lt;&gt;0,$K$2,IF($I146&lt;&gt;0,$K$2,IF($J146&lt;&gt;0,$K$2,"")))))))</f>
        <v>0</v>
      </c>
      <c r="S15" s="494"/>
    </row>
    <row r="16" spans="1:19" ht="27" customHeight="1">
      <c r="A16" s="29">
        <v>5</v>
      </c>
      <c r="H16" s="777"/>
      <c r="I16" s="2210">
        <f>$B$9</f>
        <v>0</v>
      </c>
      <c r="J16" s="2211"/>
      <c r="K16" s="2212"/>
      <c r="L16" s="1066">
        <f>$E$9</f>
        <v>0</v>
      </c>
      <c r="M16" s="1152">
        <f>$F$9</f>
        <v>0</v>
      </c>
      <c r="N16" s="775"/>
      <c r="O16" s="775"/>
      <c r="P16" s="775"/>
      <c r="Q16" s="775"/>
      <c r="R16" s="1525">
        <f>(IF($E146&lt;&gt;0,$K$2,IF($F146&lt;&gt;0,$K$2,IF($G146&lt;&gt;0,$K$2,IF($H146&lt;&gt;0,$K$2,IF($I146&lt;&gt;0,$K$2,IF($J146&lt;&gt;0,$K$2,"")))))))</f>
        <v>0</v>
      </c>
      <c r="S16" s="494"/>
    </row>
    <row r="17" spans="1:19" ht="15">
      <c r="A17" s="29">
        <v>6</v>
      </c>
      <c r="H17" s="777"/>
      <c r="I17" s="1153">
        <f>$B$10</f>
        <v>0</v>
      </c>
      <c r="J17" s="774"/>
      <c r="K17" s="1124"/>
      <c r="L17" s="1154"/>
      <c r="M17" s="1154"/>
      <c r="N17" s="775"/>
      <c r="O17" s="775"/>
      <c r="P17" s="775"/>
      <c r="Q17" s="775"/>
      <c r="R17" s="1525">
        <f>(IF($E146&lt;&gt;0,$K$2,IF($F146&lt;&gt;0,$K$2,IF($G146&lt;&gt;0,$K$2,IF($H146&lt;&gt;0,$K$2,IF($I146&lt;&gt;0,$K$2,IF($J146&lt;&gt;0,$K$2,"")))))))</f>
        <v>0</v>
      </c>
      <c r="S17" s="494"/>
    </row>
    <row r="18" spans="1:19" ht="6" customHeight="1">
      <c r="A18" s="29">
        <v>7</v>
      </c>
      <c r="H18" s="777"/>
      <c r="I18" s="1153"/>
      <c r="J18" s="774"/>
      <c r="K18" s="1124"/>
      <c r="L18" s="1153"/>
      <c r="M18" s="774"/>
      <c r="N18" s="775"/>
      <c r="O18" s="775"/>
      <c r="P18" s="775"/>
      <c r="Q18" s="775"/>
      <c r="R18" s="1525">
        <f>(IF($E146&lt;&gt;0,$K$2,IF($F146&lt;&gt;0,$K$2,IF($G146&lt;&gt;0,$K$2,IF($H146&lt;&gt;0,$K$2,IF($I146&lt;&gt;0,$K$2,IF($J146&lt;&gt;0,$K$2,"")))))))</f>
        <v>0</v>
      </c>
      <c r="S18" s="494"/>
    </row>
    <row r="19" spans="1:19" ht="27" customHeight="1">
      <c r="A19" s="29">
        <v>8</v>
      </c>
      <c r="H19" s="777"/>
      <c r="I19" s="2213">
        <f>$B$12</f>
        <v>0</v>
      </c>
      <c r="J19" s="2214"/>
      <c r="K19" s="2215"/>
      <c r="L19" s="1155" t="s">
        <v>1249</v>
      </c>
      <c r="M19" s="1901">
        <f>$F$12</f>
        <v>0</v>
      </c>
      <c r="N19" s="1156"/>
      <c r="O19" s="775"/>
      <c r="P19" s="775"/>
      <c r="Q19" s="775"/>
      <c r="R19" s="1525">
        <f>(IF($E146&lt;&gt;0,$K$2,IF($F146&lt;&gt;0,$K$2,IF($G146&lt;&gt;0,$K$2,IF($H146&lt;&gt;0,$K$2,IF($I146&lt;&gt;0,$K$2,IF($J146&lt;&gt;0,$K$2,"")))))))</f>
        <v>0</v>
      </c>
      <c r="S19" s="494"/>
    </row>
    <row r="20" spans="1:19" ht="15.75">
      <c r="A20" s="29">
        <v>9</v>
      </c>
      <c r="H20" s="777"/>
      <c r="I20" s="1157">
        <f>$B$13</f>
        <v>0</v>
      </c>
      <c r="J20" s="774"/>
      <c r="K20" s="1124"/>
      <c r="L20" s="1158"/>
      <c r="M20" s="1159"/>
      <c r="N20" s="775"/>
      <c r="O20" s="775"/>
      <c r="P20" s="775"/>
      <c r="Q20" s="775"/>
      <c r="R20" s="1525">
        <f>(IF($E146&lt;&gt;0,$K$2,IF($F146&lt;&gt;0,$K$2,IF($G146&lt;&gt;0,$K$2,IF($H146&lt;&gt;0,$K$2,IF($I146&lt;&gt;0,$K$2,IF($J146&lt;&gt;0,$K$2,"")))))))</f>
        <v>0</v>
      </c>
      <c r="S20" s="494"/>
    </row>
    <row r="21" spans="1:19" ht="21.75" customHeight="1">
      <c r="A21" s="29">
        <v>10</v>
      </c>
      <c r="H21" s="777"/>
      <c r="I21" s="1160"/>
      <c r="J21" s="775"/>
      <c r="K21" s="1161" t="s">
        <v>1424</v>
      </c>
      <c r="L21" s="1162">
        <f>$E$15</f>
        <v>0</v>
      </c>
      <c r="M21" s="1501">
        <f>$F$15</f>
        <v>0</v>
      </c>
      <c r="N21" s="775"/>
      <c r="O21" s="1163"/>
      <c r="P21" s="775"/>
      <c r="Q21" s="1163"/>
      <c r="R21" s="1525">
        <f>(IF($E146&lt;&gt;0,$K$2,IF($F146&lt;&gt;0,$K$2,IF($G146&lt;&gt;0,$K$2,IF($H146&lt;&gt;0,$K$2,IF($I146&lt;&gt;0,$K$2,IF($J146&lt;&gt;0,$K$2,"")))))))</f>
        <v>0</v>
      </c>
      <c r="S21" s="494"/>
    </row>
    <row r="22" spans="1:19" ht="16.5" thickBot="1">
      <c r="A22" s="29">
        <v>11</v>
      </c>
      <c r="H22" s="777"/>
      <c r="I22" s="774"/>
      <c r="J22" s="1121"/>
      <c r="K22" s="1147"/>
      <c r="L22" s="1159"/>
      <c r="M22" s="1164"/>
      <c r="N22" s="1165"/>
      <c r="O22" s="1165"/>
      <c r="P22" s="1165"/>
      <c r="Q22" s="1166" t="s">
        <v>986</v>
      </c>
      <c r="R22" s="1525">
        <f>(IF($E146&lt;&gt;0,$K$2,IF($F146&lt;&gt;0,$K$2,IF($G146&lt;&gt;0,$K$2,IF($H146&lt;&gt;0,$K$2,IF($I146&lt;&gt;0,$K$2,IF($J146&lt;&gt;0,$K$2,"")))))))</f>
        <v>0</v>
      </c>
      <c r="S22" s="494"/>
    </row>
    <row r="23" spans="1:19" ht="21.75" customHeight="1">
      <c r="A23" s="29">
        <v>12</v>
      </c>
      <c r="H23" s="777"/>
      <c r="I23" s="1167"/>
      <c r="J23" s="1168"/>
      <c r="K23" s="1169" t="s">
        <v>1358</v>
      </c>
      <c r="L23" s="1170" t="s">
        <v>988</v>
      </c>
      <c r="M23" s="475" t="s">
        <v>1264</v>
      </c>
      <c r="N23" s="1171"/>
      <c r="O23" s="1172"/>
      <c r="P23" s="1171"/>
      <c r="Q23" s="1173"/>
      <c r="R23" s="1525">
        <f>(IF($E146&lt;&gt;0,$K$2,IF($F146&lt;&gt;0,$K$2,IF($G146&lt;&gt;0,$K$2,IF($H146&lt;&gt;0,$K$2,IF($I146&lt;&gt;0,$K$2,IF($J146&lt;&gt;0,$K$2,"")))))))</f>
        <v>0</v>
      </c>
      <c r="S23" s="494"/>
    </row>
    <row r="24" spans="1:19" ht="58.5" customHeight="1">
      <c r="A24" s="29">
        <v>13</v>
      </c>
      <c r="H24" s="777"/>
      <c r="I24" s="1174" t="s">
        <v>937</v>
      </c>
      <c r="J24" s="1175" t="s">
        <v>990</v>
      </c>
      <c r="K24" s="1176" t="s">
        <v>1359</v>
      </c>
      <c r="L24" s="1177">
        <f>$C$3</f>
        <v>0</v>
      </c>
      <c r="M24" s="476" t="s">
        <v>1262</v>
      </c>
      <c r="N24" s="1178" t="s">
        <v>1261</v>
      </c>
      <c r="O24" s="1179" t="s">
        <v>1352</v>
      </c>
      <c r="P24" s="1180" t="s">
        <v>1250</v>
      </c>
      <c r="Q24" s="1181" t="s">
        <v>1251</v>
      </c>
      <c r="R24" s="1525">
        <f>(IF($E146&lt;&gt;0,$K$2,IF($F146&lt;&gt;0,$K$2,IF($G146&lt;&gt;0,$K$2,IF($H146&lt;&gt;0,$K$2,IF($I146&lt;&gt;0,$K$2,IF($J146&lt;&gt;0,$K$2,"")))))))</f>
        <v>0</v>
      </c>
      <c r="S24" s="494"/>
    </row>
    <row r="25" spans="1:19" ht="18">
      <c r="A25" s="29">
        <v>14</v>
      </c>
      <c r="H25" s="777"/>
      <c r="I25" s="1182"/>
      <c r="J25" s="1183"/>
      <c r="K25" s="1184" t="s">
        <v>757</v>
      </c>
      <c r="L25" s="456" t="s">
        <v>604</v>
      </c>
      <c r="M25" s="456" t="s">
        <v>605</v>
      </c>
      <c r="N25" s="769" t="s">
        <v>1365</v>
      </c>
      <c r="O25" s="770" t="s">
        <v>1366</v>
      </c>
      <c r="P25" s="770" t="s">
        <v>1339</v>
      </c>
      <c r="Q25" s="771" t="s">
        <v>1232</v>
      </c>
      <c r="R25" s="1525">
        <f>(IF($E146&lt;&gt;0,$K$2,IF($F146&lt;&gt;0,$K$2,IF($G146&lt;&gt;0,$K$2,IF($H146&lt;&gt;0,$K$2,IF($I146&lt;&gt;0,$K$2,IF($J146&lt;&gt;0,$K$2,"")))))))</f>
        <v>0</v>
      </c>
      <c r="S25" s="494"/>
    </row>
    <row r="26" spans="1:19" ht="18.75" customHeight="1">
      <c r="A26" s="29">
        <v>15</v>
      </c>
      <c r="H26" s="777"/>
      <c r="I26" s="1185"/>
      <c r="J26" s="1952">
        <f>VLOOKUP(K26,OP_LIST2,2,FALSE)</f>
        <v>0</v>
      </c>
      <c r="K26" s="1521" t="s">
        <v>543</v>
      </c>
      <c r="L26" s="386"/>
      <c r="M26" s="772"/>
      <c r="N26" s="1186"/>
      <c r="O26" s="778"/>
      <c r="P26" s="778"/>
      <c r="Q26" s="779"/>
      <c r="R26" s="1525">
        <f>(IF($E146&lt;&gt;0,$K$2,IF($F146&lt;&gt;0,$K$2,IF($G146&lt;&gt;0,$K$2,IF($H146&lt;&gt;0,$K$2,IF($I146&lt;&gt;0,$K$2,IF($J146&lt;&gt;0,$K$2,"")))))))</f>
        <v>0</v>
      </c>
      <c r="S26" s="494"/>
    </row>
    <row r="27" spans="1:19" ht="18.75" customHeight="1">
      <c r="A27" s="29">
        <v>16</v>
      </c>
      <c r="H27" s="777"/>
      <c r="I27" s="1187"/>
      <c r="J27" s="1953">
        <f>VLOOKUP(K28,EBK_DEIN2,2,FALSE)</f>
        <v>0</v>
      </c>
      <c r="K27" s="1522" t="s">
        <v>1216</v>
      </c>
      <c r="L27" s="772"/>
      <c r="M27" s="772"/>
      <c r="N27" s="1188"/>
      <c r="O27" s="780"/>
      <c r="P27" s="780"/>
      <c r="Q27" s="781"/>
      <c r="R27" s="1525">
        <f>(IF($E146&lt;&gt;0,$K$2,IF($F146&lt;&gt;0,$K$2,IF($G146&lt;&gt;0,$K$2,IF($H146&lt;&gt;0,$K$2,IF($I146&lt;&gt;0,$K$2,IF($J146&lt;&gt;0,$K$2,"")))))))</f>
        <v>0</v>
      </c>
      <c r="S27" s="494"/>
    </row>
    <row r="28" spans="1:19" ht="18.75" customHeight="1">
      <c r="A28" s="29">
        <v>17</v>
      </c>
      <c r="H28" s="777"/>
      <c r="I28" s="1189"/>
      <c r="J28" s="1954">
        <f>+J27</f>
        <v>0</v>
      </c>
      <c r="K28" s="1520" t="s">
        <v>1591</v>
      </c>
      <c r="L28" s="772"/>
      <c r="M28" s="772"/>
      <c r="N28" s="1188"/>
      <c r="O28" s="780"/>
      <c r="P28" s="780"/>
      <c r="Q28" s="781"/>
      <c r="R28" s="1525">
        <f>(IF($E146&lt;&gt;0,$K$2,IF($F146&lt;&gt;0,$K$2,IF($G146&lt;&gt;0,$K$2,IF($H146&lt;&gt;0,$K$2,IF($I146&lt;&gt;0,$K$2,IF($J146&lt;&gt;0,$K$2,"")))))))</f>
        <v>0</v>
      </c>
      <c r="S28" s="494"/>
    </row>
    <row r="29" spans="1:19" ht="15">
      <c r="A29" s="29">
        <v>18</v>
      </c>
      <c r="H29" s="777"/>
      <c r="I29" s="1190"/>
      <c r="J29" s="1191"/>
      <c r="K29" s="1192" t="s">
        <v>1360</v>
      </c>
      <c r="L29" s="772"/>
      <c r="M29" s="772"/>
      <c r="N29" s="1193"/>
      <c r="O29" s="782"/>
      <c r="P29" s="782"/>
      <c r="Q29" s="783"/>
      <c r="R29" s="1525">
        <f>(IF($E146&lt;&gt;0,$K$2,IF($F146&lt;&gt;0,$K$2,IF($G146&lt;&gt;0,$K$2,IF($H146&lt;&gt;0,$K$2,IF($I146&lt;&gt;0,$K$2,IF($J146&lt;&gt;0,$K$2,"")))))))</f>
        <v>0</v>
      </c>
      <c r="S29" s="494"/>
    </row>
    <row r="30" spans="1:19" ht="18.75" customHeight="1">
      <c r="A30" s="29">
        <v>19</v>
      </c>
      <c r="H30" s="777"/>
      <c r="I30" s="1194">
        <v>100</v>
      </c>
      <c r="J30" s="2229" t="s">
        <v>758</v>
      </c>
      <c r="K30" s="2223"/>
      <c r="L30" s="461">
        <f aca="true" t="shared" si="0" ref="L30:Q30">SUM(L31:L32)</f>
        <v>0</v>
      </c>
      <c r="M30" s="462">
        <f t="shared" si="0"/>
        <v>0</v>
      </c>
      <c r="N30" s="575">
        <f t="shared" si="0"/>
        <v>0</v>
      </c>
      <c r="O30" s="576">
        <f t="shared" si="0"/>
        <v>0</v>
      </c>
      <c r="P30" s="576">
        <f t="shared" si="0"/>
        <v>0</v>
      </c>
      <c r="Q30" s="577">
        <f t="shared" si="0"/>
        <v>0</v>
      </c>
      <c r="R30" s="1523">
        <f>(IF($E30&lt;&gt;0,$K$2,IF($F30&lt;&gt;0,$K$2,IF($G30&lt;&gt;0,$K$2,IF($H30&lt;&gt;0,$K$2,IF($I30&lt;&gt;0,$K$2,IF($J30&lt;&gt;0,$K$2,"")))))))</f>
        <v>0</v>
      </c>
      <c r="S30" s="495"/>
    </row>
    <row r="31" spans="1:19" ht="18.75" customHeight="1">
      <c r="A31" s="29">
        <v>20</v>
      </c>
      <c r="H31" s="777"/>
      <c r="I31" s="1195"/>
      <c r="J31" s="1196">
        <v>101</v>
      </c>
      <c r="K31" s="1197" t="s">
        <v>759</v>
      </c>
      <c r="L31" s="619"/>
      <c r="M31" s="628">
        <f>N31+O31+P31+Q31</f>
        <v>0</v>
      </c>
      <c r="N31" s="542"/>
      <c r="O31" s="543"/>
      <c r="P31" s="543"/>
      <c r="Q31" s="544"/>
      <c r="R31" s="1523">
        <f aca="true" t="shared" si="1" ref="R31:R98">(IF($E31&lt;&gt;0,$K$2,IF($F31&lt;&gt;0,$K$2,IF($G31&lt;&gt;0,$K$2,IF($H31&lt;&gt;0,$K$2,IF($I31&lt;&gt;0,$K$2,IF($J31&lt;&gt;0,$K$2,"")))))))</f>
        <v>0</v>
      </c>
      <c r="S31" s="495"/>
    </row>
    <row r="32" spans="1:19" ht="18.75" customHeight="1">
      <c r="A32" s="29">
        <v>21</v>
      </c>
      <c r="H32" s="777"/>
      <c r="I32" s="1195"/>
      <c r="J32" s="1198">
        <v>102</v>
      </c>
      <c r="K32" s="1199" t="s">
        <v>760</v>
      </c>
      <c r="L32" s="625"/>
      <c r="M32" s="629">
        <f>N32+O32+P32+Q32</f>
        <v>0</v>
      </c>
      <c r="N32" s="554"/>
      <c r="O32" s="555"/>
      <c r="P32" s="555"/>
      <c r="Q32" s="556"/>
      <c r="R32" s="1523">
        <f t="shared" si="1"/>
        <v>0</v>
      </c>
      <c r="S32" s="495"/>
    </row>
    <row r="33" spans="1:19" ht="18.75" customHeight="1">
      <c r="A33" s="29">
        <v>22</v>
      </c>
      <c r="H33" s="777"/>
      <c r="I33" s="1194">
        <v>200</v>
      </c>
      <c r="J33" s="2225" t="s">
        <v>761</v>
      </c>
      <c r="K33" s="2225"/>
      <c r="L33" s="461">
        <f aca="true" t="shared" si="2" ref="L33:Q33">SUM(L34:L38)</f>
        <v>0</v>
      </c>
      <c r="M33" s="462">
        <f t="shared" si="2"/>
        <v>0</v>
      </c>
      <c r="N33" s="575">
        <f t="shared" si="2"/>
        <v>0</v>
      </c>
      <c r="O33" s="576">
        <f t="shared" si="2"/>
        <v>0</v>
      </c>
      <c r="P33" s="576">
        <f t="shared" si="2"/>
        <v>0</v>
      </c>
      <c r="Q33" s="577">
        <f t="shared" si="2"/>
        <v>0</v>
      </c>
      <c r="R33" s="1523">
        <f t="shared" si="1"/>
        <v>0</v>
      </c>
      <c r="S33" s="495"/>
    </row>
    <row r="34" spans="1:19" ht="18.75" customHeight="1">
      <c r="A34" s="29">
        <v>23</v>
      </c>
      <c r="H34" s="777"/>
      <c r="I34" s="1200"/>
      <c r="J34" s="1196">
        <v>201</v>
      </c>
      <c r="K34" s="1197" t="s">
        <v>762</v>
      </c>
      <c r="L34" s="619"/>
      <c r="M34" s="628">
        <f>N34+O34+P34+Q34</f>
        <v>0</v>
      </c>
      <c r="N34" s="542"/>
      <c r="O34" s="543"/>
      <c r="P34" s="543"/>
      <c r="Q34" s="544"/>
      <c r="R34" s="1523">
        <f t="shared" si="1"/>
        <v>0</v>
      </c>
      <c r="S34" s="495"/>
    </row>
    <row r="35" spans="1:19" ht="18.75" customHeight="1">
      <c r="A35" s="29">
        <v>24</v>
      </c>
      <c r="H35" s="777"/>
      <c r="I35" s="1201"/>
      <c r="J35" s="1202">
        <v>202</v>
      </c>
      <c r="K35" s="1203" t="s">
        <v>763</v>
      </c>
      <c r="L35" s="621"/>
      <c r="M35" s="630">
        <f>N35+O35+P35+Q35</f>
        <v>0</v>
      </c>
      <c r="N35" s="545"/>
      <c r="O35" s="546"/>
      <c r="P35" s="546"/>
      <c r="Q35" s="547"/>
      <c r="R35" s="1523">
        <f t="shared" si="1"/>
        <v>0</v>
      </c>
      <c r="S35" s="495"/>
    </row>
    <row r="36" spans="1:19" ht="18.75" customHeight="1">
      <c r="A36" s="29">
        <v>25</v>
      </c>
      <c r="H36" s="777"/>
      <c r="I36" s="1204"/>
      <c r="J36" s="1202">
        <v>205</v>
      </c>
      <c r="K36" s="1203" t="s">
        <v>832</v>
      </c>
      <c r="L36" s="621"/>
      <c r="M36" s="630">
        <f>N36+O36+P36+Q36</f>
        <v>0</v>
      </c>
      <c r="N36" s="545"/>
      <c r="O36" s="546"/>
      <c r="P36" s="546"/>
      <c r="Q36" s="547"/>
      <c r="R36" s="1523">
        <f t="shared" si="1"/>
        <v>0</v>
      </c>
      <c r="S36" s="495"/>
    </row>
    <row r="37" spans="1:19" ht="18.75" customHeight="1">
      <c r="A37" s="29">
        <v>26</v>
      </c>
      <c r="H37" s="777"/>
      <c r="I37" s="1204"/>
      <c r="J37" s="1202">
        <v>208</v>
      </c>
      <c r="K37" s="1205" t="s">
        <v>833</v>
      </c>
      <c r="L37" s="621"/>
      <c r="M37" s="630">
        <f>N37+O37+P37+Q37</f>
        <v>0</v>
      </c>
      <c r="N37" s="545"/>
      <c r="O37" s="546"/>
      <c r="P37" s="546"/>
      <c r="Q37" s="547"/>
      <c r="R37" s="1523">
        <f t="shared" si="1"/>
        <v>0</v>
      </c>
      <c r="S37" s="495"/>
    </row>
    <row r="38" spans="1:19" ht="18.75" customHeight="1">
      <c r="A38" s="29">
        <v>27</v>
      </c>
      <c r="H38" s="777"/>
      <c r="I38" s="1200"/>
      <c r="J38" s="1198">
        <v>209</v>
      </c>
      <c r="K38" s="1206" t="s">
        <v>834</v>
      </c>
      <c r="L38" s="625"/>
      <c r="M38" s="629">
        <f>N38+O38+P38+Q38</f>
        <v>0</v>
      </c>
      <c r="N38" s="554"/>
      <c r="O38" s="555"/>
      <c r="P38" s="555"/>
      <c r="Q38" s="556"/>
      <c r="R38" s="1523">
        <f t="shared" si="1"/>
        <v>0</v>
      </c>
      <c r="S38" s="495"/>
    </row>
    <row r="39" spans="1:19" ht="18.75" customHeight="1">
      <c r="A39" s="29">
        <v>28</v>
      </c>
      <c r="H39" s="777"/>
      <c r="I39" s="1194">
        <v>500</v>
      </c>
      <c r="J39" s="2226" t="s">
        <v>835</v>
      </c>
      <c r="K39" s="2226"/>
      <c r="L39" s="461">
        <f aca="true" t="shared" si="3" ref="L39:Q39">SUM(L40:L46)</f>
        <v>0</v>
      </c>
      <c r="M39" s="462">
        <f t="shared" si="3"/>
        <v>0</v>
      </c>
      <c r="N39" s="575">
        <f t="shared" si="3"/>
        <v>0</v>
      </c>
      <c r="O39" s="576">
        <f t="shared" si="3"/>
        <v>0</v>
      </c>
      <c r="P39" s="576">
        <f t="shared" si="3"/>
        <v>0</v>
      </c>
      <c r="Q39" s="577">
        <f t="shared" si="3"/>
        <v>0</v>
      </c>
      <c r="R39" s="1523">
        <f t="shared" si="1"/>
        <v>0</v>
      </c>
      <c r="S39" s="495"/>
    </row>
    <row r="40" spans="1:19" ht="18.75" customHeight="1">
      <c r="A40" s="29">
        <v>29</v>
      </c>
      <c r="H40" s="777"/>
      <c r="I40" s="1200"/>
      <c r="J40" s="1207">
        <v>551</v>
      </c>
      <c r="K40" s="1208" t="s">
        <v>836</v>
      </c>
      <c r="L40" s="619"/>
      <c r="M40" s="628">
        <f aca="true" t="shared" si="4" ref="M40:M47">N40+O40+P40+Q40</f>
        <v>0</v>
      </c>
      <c r="N40" s="1484">
        <v>0</v>
      </c>
      <c r="O40" s="1485">
        <v>0</v>
      </c>
      <c r="P40" s="1485">
        <v>0</v>
      </c>
      <c r="Q40" s="544"/>
      <c r="R40" s="1523">
        <f t="shared" si="1"/>
        <v>0</v>
      </c>
      <c r="S40" s="495"/>
    </row>
    <row r="41" spans="1:19" ht="18.75" customHeight="1">
      <c r="A41" s="29">
        <v>30</v>
      </c>
      <c r="H41" s="777"/>
      <c r="I41" s="1200"/>
      <c r="J41" s="1209">
        <f>J40+1</f>
        <v>552</v>
      </c>
      <c r="K41" s="1210" t="s">
        <v>837</v>
      </c>
      <c r="L41" s="621"/>
      <c r="M41" s="630">
        <f t="shared" si="4"/>
        <v>0</v>
      </c>
      <c r="N41" s="1486">
        <v>0</v>
      </c>
      <c r="O41" s="1487">
        <v>0</v>
      </c>
      <c r="P41" s="1487">
        <v>0</v>
      </c>
      <c r="Q41" s="547"/>
      <c r="R41" s="1523">
        <f t="shared" si="1"/>
        <v>0</v>
      </c>
      <c r="S41" s="495"/>
    </row>
    <row r="42" spans="1:19" ht="18.75" customHeight="1">
      <c r="A42" s="29">
        <v>31</v>
      </c>
      <c r="H42" s="777"/>
      <c r="I42" s="1211"/>
      <c r="J42" s="1209">
        <v>558</v>
      </c>
      <c r="K42" s="1212" t="s">
        <v>1438</v>
      </c>
      <c r="L42" s="621"/>
      <c r="M42" s="630">
        <f>N42+O42+P42+Q42</f>
        <v>0</v>
      </c>
      <c r="N42" s="1486">
        <v>0</v>
      </c>
      <c r="O42" s="1487">
        <v>0</v>
      </c>
      <c r="P42" s="1487">
        <v>0</v>
      </c>
      <c r="Q42" s="750">
        <v>0</v>
      </c>
      <c r="R42" s="1523">
        <f t="shared" si="1"/>
        <v>0</v>
      </c>
      <c r="S42" s="495"/>
    </row>
    <row r="43" spans="1:19" ht="18.75" customHeight="1">
      <c r="A43" s="29">
        <v>32</v>
      </c>
      <c r="H43" s="777"/>
      <c r="I43" s="1211"/>
      <c r="J43" s="1209">
        <v>560</v>
      </c>
      <c r="K43" s="1212" t="s">
        <v>838</v>
      </c>
      <c r="L43" s="621"/>
      <c r="M43" s="630">
        <f t="shared" si="4"/>
        <v>0</v>
      </c>
      <c r="N43" s="1486">
        <v>0</v>
      </c>
      <c r="O43" s="1487">
        <v>0</v>
      </c>
      <c r="P43" s="1487">
        <v>0</v>
      </c>
      <c r="Q43" s="547"/>
      <c r="R43" s="1523">
        <f t="shared" si="1"/>
        <v>0</v>
      </c>
      <c r="S43" s="495"/>
    </row>
    <row r="44" spans="1:19" ht="18.75" customHeight="1">
      <c r="A44" s="29">
        <v>33</v>
      </c>
      <c r="H44" s="777"/>
      <c r="I44" s="1211"/>
      <c r="J44" s="1209">
        <v>580</v>
      </c>
      <c r="K44" s="1210" t="s">
        <v>839</v>
      </c>
      <c r="L44" s="621"/>
      <c r="M44" s="630">
        <f t="shared" si="4"/>
        <v>0</v>
      </c>
      <c r="N44" s="1486">
        <v>0</v>
      </c>
      <c r="O44" s="1487">
        <v>0</v>
      </c>
      <c r="P44" s="1487">
        <v>0</v>
      </c>
      <c r="Q44" s="547"/>
      <c r="R44" s="1523">
        <f t="shared" si="1"/>
        <v>0</v>
      </c>
      <c r="S44" s="495"/>
    </row>
    <row r="45" spans="1:19" ht="31.5">
      <c r="A45" s="29">
        <v>34</v>
      </c>
      <c r="H45" s="777"/>
      <c r="I45" s="1200"/>
      <c r="J45" s="1202">
        <v>588</v>
      </c>
      <c r="K45" s="1205" t="s">
        <v>1442</v>
      </c>
      <c r="L45" s="621"/>
      <c r="M45" s="630">
        <f>N45+O45+P45+Q45</f>
        <v>0</v>
      </c>
      <c r="N45" s="1486">
        <v>0</v>
      </c>
      <c r="O45" s="1487">
        <v>0</v>
      </c>
      <c r="P45" s="1487">
        <v>0</v>
      </c>
      <c r="Q45" s="750">
        <v>0</v>
      </c>
      <c r="R45" s="1523">
        <f t="shared" si="1"/>
        <v>0</v>
      </c>
      <c r="S45" s="495"/>
    </row>
    <row r="46" spans="1:19" ht="31.5">
      <c r="A46" s="29">
        <v>35</v>
      </c>
      <c r="H46" s="777"/>
      <c r="I46" s="1200"/>
      <c r="J46" s="1213">
        <v>590</v>
      </c>
      <c r="K46" s="1214" t="s">
        <v>840</v>
      </c>
      <c r="L46" s="625"/>
      <c r="M46" s="629">
        <f t="shared" si="4"/>
        <v>0</v>
      </c>
      <c r="N46" s="554"/>
      <c r="O46" s="555"/>
      <c r="P46" s="555"/>
      <c r="Q46" s="556"/>
      <c r="R46" s="1523">
        <f t="shared" si="1"/>
        <v>0</v>
      </c>
      <c r="S46" s="495"/>
    </row>
    <row r="47" spans="1:19" ht="18.75" customHeight="1">
      <c r="A47" s="29">
        <v>36</v>
      </c>
      <c r="H47" s="777"/>
      <c r="I47" s="1194">
        <v>800</v>
      </c>
      <c r="J47" s="2227" t="s">
        <v>1361</v>
      </c>
      <c r="K47" s="2228"/>
      <c r="L47" s="1504"/>
      <c r="M47" s="464">
        <f t="shared" si="4"/>
        <v>0</v>
      </c>
      <c r="N47" s="1308"/>
      <c r="O47" s="1309"/>
      <c r="P47" s="1309"/>
      <c r="Q47" s="1310"/>
      <c r="R47" s="1523">
        <f t="shared" si="1"/>
        <v>0</v>
      </c>
      <c r="S47" s="495"/>
    </row>
    <row r="48" spans="1:19" ht="18.75" customHeight="1">
      <c r="A48" s="29">
        <v>37</v>
      </c>
      <c r="H48" s="777"/>
      <c r="I48" s="1194">
        <v>1000</v>
      </c>
      <c r="J48" s="2225" t="s">
        <v>842</v>
      </c>
      <c r="K48" s="2225"/>
      <c r="L48" s="463">
        <f aca="true" t="shared" si="5" ref="L48:Q48">SUM(L49:L65)</f>
        <v>0</v>
      </c>
      <c r="M48" s="464">
        <f t="shared" si="5"/>
        <v>0</v>
      </c>
      <c r="N48" s="575">
        <f t="shared" si="5"/>
        <v>0</v>
      </c>
      <c r="O48" s="576">
        <f t="shared" si="5"/>
        <v>0</v>
      </c>
      <c r="P48" s="576">
        <f t="shared" si="5"/>
        <v>0</v>
      </c>
      <c r="Q48" s="577">
        <f t="shared" si="5"/>
        <v>0</v>
      </c>
      <c r="R48" s="1523">
        <f t="shared" si="1"/>
        <v>0</v>
      </c>
      <c r="S48" s="495"/>
    </row>
    <row r="49" spans="1:19" ht="18.75" customHeight="1">
      <c r="A49" s="29">
        <v>38</v>
      </c>
      <c r="H49" s="777"/>
      <c r="I49" s="1201"/>
      <c r="J49" s="1196">
        <v>1011</v>
      </c>
      <c r="K49" s="1215" t="s">
        <v>843</v>
      </c>
      <c r="L49" s="619"/>
      <c r="M49" s="628">
        <f aca="true" t="shared" si="6" ref="M49:M65">N49+O49+P49+Q49</f>
        <v>0</v>
      </c>
      <c r="N49" s="542"/>
      <c r="O49" s="543"/>
      <c r="P49" s="543"/>
      <c r="Q49" s="544"/>
      <c r="R49" s="1523">
        <f t="shared" si="1"/>
        <v>0</v>
      </c>
      <c r="S49" s="495"/>
    </row>
    <row r="50" spans="1:19" ht="18.75" customHeight="1">
      <c r="A50" s="29">
        <v>39</v>
      </c>
      <c r="E50" s="40"/>
      <c r="H50" s="777"/>
      <c r="I50" s="1201"/>
      <c r="J50" s="1202">
        <v>1012</v>
      </c>
      <c r="K50" s="1203" t="s">
        <v>844</v>
      </c>
      <c r="L50" s="621"/>
      <c r="M50" s="630">
        <f t="shared" si="6"/>
        <v>0</v>
      </c>
      <c r="N50" s="545"/>
      <c r="O50" s="546"/>
      <c r="P50" s="546"/>
      <c r="Q50" s="547"/>
      <c r="R50" s="1523">
        <f t="shared" si="1"/>
        <v>0</v>
      </c>
      <c r="S50" s="495"/>
    </row>
    <row r="51" spans="1:19" ht="18.75" customHeight="1">
      <c r="A51" s="29">
        <v>40</v>
      </c>
      <c r="E51" s="40"/>
      <c r="H51" s="777"/>
      <c r="I51" s="1201"/>
      <c r="J51" s="1202">
        <v>1013</v>
      </c>
      <c r="K51" s="1203" t="s">
        <v>845</v>
      </c>
      <c r="L51" s="621"/>
      <c r="M51" s="630">
        <f t="shared" si="6"/>
        <v>0</v>
      </c>
      <c r="N51" s="545"/>
      <c r="O51" s="546"/>
      <c r="P51" s="546"/>
      <c r="Q51" s="547"/>
      <c r="R51" s="1523">
        <f t="shared" si="1"/>
        <v>0</v>
      </c>
      <c r="S51" s="495"/>
    </row>
    <row r="52" spans="1:19" ht="18.75" customHeight="1">
      <c r="A52" s="29">
        <v>41</v>
      </c>
      <c r="E52" s="40"/>
      <c r="H52" s="777"/>
      <c r="I52" s="1201"/>
      <c r="J52" s="1202">
        <v>1014</v>
      </c>
      <c r="K52" s="1203" t="s">
        <v>846</v>
      </c>
      <c r="L52" s="621"/>
      <c r="M52" s="630">
        <f t="shared" si="6"/>
        <v>0</v>
      </c>
      <c r="N52" s="545"/>
      <c r="O52" s="546"/>
      <c r="P52" s="546"/>
      <c r="Q52" s="547"/>
      <c r="R52" s="1523">
        <f t="shared" si="1"/>
        <v>0</v>
      </c>
      <c r="S52" s="495"/>
    </row>
    <row r="53" spans="1:19" ht="18.75" customHeight="1">
      <c r="A53" s="29">
        <v>42</v>
      </c>
      <c r="E53" s="40"/>
      <c r="H53" s="777"/>
      <c r="I53" s="1201"/>
      <c r="J53" s="1202">
        <v>1015</v>
      </c>
      <c r="K53" s="1203" t="s">
        <v>847</v>
      </c>
      <c r="L53" s="621"/>
      <c r="M53" s="630">
        <f t="shared" si="6"/>
        <v>0</v>
      </c>
      <c r="N53" s="545"/>
      <c r="O53" s="546"/>
      <c r="P53" s="546"/>
      <c r="Q53" s="547"/>
      <c r="R53" s="1523">
        <f t="shared" si="1"/>
        <v>0</v>
      </c>
      <c r="S53" s="495"/>
    </row>
    <row r="54" spans="1:19" ht="18.75" customHeight="1">
      <c r="A54" s="29">
        <v>43</v>
      </c>
      <c r="E54" s="40"/>
      <c r="H54" s="777"/>
      <c r="I54" s="1201"/>
      <c r="J54" s="1216">
        <v>1016</v>
      </c>
      <c r="K54" s="1217" t="s">
        <v>848</v>
      </c>
      <c r="L54" s="623"/>
      <c r="M54" s="631">
        <f t="shared" si="6"/>
        <v>0</v>
      </c>
      <c r="N54" s="609"/>
      <c r="O54" s="610"/>
      <c r="P54" s="610"/>
      <c r="Q54" s="611"/>
      <c r="R54" s="1523">
        <f t="shared" si="1"/>
        <v>0</v>
      </c>
      <c r="S54" s="495"/>
    </row>
    <row r="55" spans="1:19" ht="18.75" customHeight="1">
      <c r="A55" s="29">
        <v>44</v>
      </c>
      <c r="E55" s="40"/>
      <c r="H55" s="777"/>
      <c r="I55" s="1195"/>
      <c r="J55" s="1218">
        <v>1020</v>
      </c>
      <c r="K55" s="1219" t="s">
        <v>849</v>
      </c>
      <c r="L55" s="1505"/>
      <c r="M55" s="633">
        <f t="shared" si="6"/>
        <v>0</v>
      </c>
      <c r="N55" s="551"/>
      <c r="O55" s="552"/>
      <c r="P55" s="552"/>
      <c r="Q55" s="553"/>
      <c r="R55" s="1523">
        <f t="shared" si="1"/>
        <v>0</v>
      </c>
      <c r="S55" s="495"/>
    </row>
    <row r="56" spans="1:19" ht="18.75" customHeight="1">
      <c r="A56" s="29">
        <v>45</v>
      </c>
      <c r="E56" s="40"/>
      <c r="H56" s="777"/>
      <c r="I56" s="1201"/>
      <c r="J56" s="1220">
        <v>1030</v>
      </c>
      <c r="K56" s="1221" t="s">
        <v>850</v>
      </c>
      <c r="L56" s="1506"/>
      <c r="M56" s="635">
        <f t="shared" si="6"/>
        <v>0</v>
      </c>
      <c r="N56" s="548"/>
      <c r="O56" s="549"/>
      <c r="P56" s="549"/>
      <c r="Q56" s="550"/>
      <c r="R56" s="1523">
        <f t="shared" si="1"/>
        <v>0</v>
      </c>
      <c r="S56" s="495"/>
    </row>
    <row r="57" spans="1:19" ht="18.75" customHeight="1">
      <c r="A57" s="29">
        <v>46</v>
      </c>
      <c r="E57" s="40"/>
      <c r="H57" s="777"/>
      <c r="I57" s="1201"/>
      <c r="J57" s="1218">
        <v>1051</v>
      </c>
      <c r="K57" s="1222" t="s">
        <v>851</v>
      </c>
      <c r="L57" s="1505"/>
      <c r="M57" s="633">
        <f t="shared" si="6"/>
        <v>0</v>
      </c>
      <c r="N57" s="551"/>
      <c r="O57" s="552"/>
      <c r="P57" s="552"/>
      <c r="Q57" s="553"/>
      <c r="R57" s="1523">
        <f t="shared" si="1"/>
        <v>0</v>
      </c>
      <c r="S57" s="495"/>
    </row>
    <row r="58" spans="1:19" ht="18.75" customHeight="1">
      <c r="A58" s="29">
        <v>47</v>
      </c>
      <c r="C58" s="33"/>
      <c r="E58" s="40"/>
      <c r="H58" s="777"/>
      <c r="I58" s="1201"/>
      <c r="J58" s="1202">
        <v>1052</v>
      </c>
      <c r="K58" s="1203" t="s">
        <v>852</v>
      </c>
      <c r="L58" s="621"/>
      <c r="M58" s="630">
        <f t="shared" si="6"/>
        <v>0</v>
      </c>
      <c r="N58" s="545"/>
      <c r="O58" s="546"/>
      <c r="P58" s="546"/>
      <c r="Q58" s="547"/>
      <c r="R58" s="1523">
        <f t="shared" si="1"/>
        <v>0</v>
      </c>
      <c r="S58" s="495"/>
    </row>
    <row r="59" spans="1:19" ht="18.75" customHeight="1">
      <c r="A59" s="29">
        <v>48</v>
      </c>
      <c r="E59" s="40"/>
      <c r="H59" s="777"/>
      <c r="I59" s="1201"/>
      <c r="J59" s="1220">
        <v>1053</v>
      </c>
      <c r="K59" s="1221" t="s">
        <v>1268</v>
      </c>
      <c r="L59" s="1506"/>
      <c r="M59" s="635">
        <f t="shared" si="6"/>
        <v>0</v>
      </c>
      <c r="N59" s="548"/>
      <c r="O59" s="549"/>
      <c r="P59" s="549"/>
      <c r="Q59" s="550"/>
      <c r="R59" s="1523">
        <f t="shared" si="1"/>
        <v>0</v>
      </c>
      <c r="S59" s="495"/>
    </row>
    <row r="60" spans="1:19" ht="18.75" customHeight="1">
      <c r="A60" s="29">
        <v>49</v>
      </c>
      <c r="E60" s="40"/>
      <c r="H60" s="777"/>
      <c r="I60" s="1201"/>
      <c r="J60" s="1218">
        <v>1062</v>
      </c>
      <c r="K60" s="1219" t="s">
        <v>853</v>
      </c>
      <c r="L60" s="1505"/>
      <c r="M60" s="633">
        <f t="shared" si="6"/>
        <v>0</v>
      </c>
      <c r="N60" s="551"/>
      <c r="O60" s="552"/>
      <c r="P60" s="552"/>
      <c r="Q60" s="553"/>
      <c r="R60" s="1523">
        <f t="shared" si="1"/>
        <v>0</v>
      </c>
      <c r="S60" s="495"/>
    </row>
    <row r="61" spans="1:19" ht="18.75" customHeight="1">
      <c r="A61" s="29">
        <v>50</v>
      </c>
      <c r="E61" s="40"/>
      <c r="H61" s="777"/>
      <c r="I61" s="1201"/>
      <c r="J61" s="1220">
        <v>1063</v>
      </c>
      <c r="K61" s="1223" t="s">
        <v>1226</v>
      </c>
      <c r="L61" s="1506"/>
      <c r="M61" s="635">
        <f t="shared" si="6"/>
        <v>0</v>
      </c>
      <c r="N61" s="548"/>
      <c r="O61" s="549"/>
      <c r="P61" s="549"/>
      <c r="Q61" s="550"/>
      <c r="R61" s="1523">
        <f t="shared" si="1"/>
        <v>0</v>
      </c>
      <c r="S61" s="495"/>
    </row>
    <row r="62" spans="1:19" ht="18.75" customHeight="1">
      <c r="A62" s="29">
        <v>51</v>
      </c>
      <c r="E62" s="40"/>
      <c r="H62" s="777"/>
      <c r="I62" s="1201"/>
      <c r="J62" s="1224">
        <v>1069</v>
      </c>
      <c r="K62" s="1225" t="s">
        <v>854</v>
      </c>
      <c r="L62" s="1507"/>
      <c r="M62" s="637">
        <f t="shared" si="6"/>
        <v>0</v>
      </c>
      <c r="N62" s="734"/>
      <c r="O62" s="735"/>
      <c r="P62" s="735"/>
      <c r="Q62" s="699"/>
      <c r="R62" s="1523">
        <f t="shared" si="1"/>
        <v>0</v>
      </c>
      <c r="S62" s="495"/>
    </row>
    <row r="63" spans="1:19" ht="18.75" customHeight="1">
      <c r="A63" s="29">
        <v>52</v>
      </c>
      <c r="E63" s="40"/>
      <c r="H63" s="777"/>
      <c r="I63" s="1195"/>
      <c r="J63" s="1218">
        <v>1091</v>
      </c>
      <c r="K63" s="1222" t="s">
        <v>1596</v>
      </c>
      <c r="L63" s="1505"/>
      <c r="M63" s="633">
        <f t="shared" si="6"/>
        <v>0</v>
      </c>
      <c r="N63" s="551"/>
      <c r="O63" s="552"/>
      <c r="P63" s="552"/>
      <c r="Q63" s="553"/>
      <c r="R63" s="1523">
        <f t="shared" si="1"/>
        <v>0</v>
      </c>
      <c r="S63" s="495"/>
    </row>
    <row r="64" spans="1:19" ht="18.75" customHeight="1">
      <c r="A64" s="29">
        <v>53</v>
      </c>
      <c r="E64" s="40"/>
      <c r="H64" s="777"/>
      <c r="I64" s="1201"/>
      <c r="J64" s="1202">
        <v>1092</v>
      </c>
      <c r="K64" s="1203" t="s">
        <v>1032</v>
      </c>
      <c r="L64" s="621"/>
      <c r="M64" s="630">
        <f t="shared" si="6"/>
        <v>0</v>
      </c>
      <c r="N64" s="545"/>
      <c r="O64" s="546"/>
      <c r="P64" s="546"/>
      <c r="Q64" s="547"/>
      <c r="R64" s="1523">
        <f t="shared" si="1"/>
        <v>0</v>
      </c>
      <c r="S64" s="495"/>
    </row>
    <row r="65" spans="1:19" ht="18.75" customHeight="1">
      <c r="A65" s="29">
        <v>54</v>
      </c>
      <c r="E65" s="40"/>
      <c r="H65" s="777"/>
      <c r="I65" s="1201"/>
      <c r="J65" s="1198">
        <v>1098</v>
      </c>
      <c r="K65" s="1226" t="s">
        <v>855</v>
      </c>
      <c r="L65" s="625"/>
      <c r="M65" s="629">
        <f t="shared" si="6"/>
        <v>0</v>
      </c>
      <c r="N65" s="554"/>
      <c r="O65" s="555"/>
      <c r="P65" s="555"/>
      <c r="Q65" s="556"/>
      <c r="R65" s="1523">
        <f t="shared" si="1"/>
        <v>0</v>
      </c>
      <c r="S65" s="495"/>
    </row>
    <row r="66" spans="1:19" ht="18.75" customHeight="1">
      <c r="A66" s="29">
        <v>55</v>
      </c>
      <c r="E66" s="40"/>
      <c r="H66" s="777"/>
      <c r="I66" s="1194">
        <v>1900</v>
      </c>
      <c r="J66" s="2217" t="s">
        <v>2006</v>
      </c>
      <c r="K66" s="2217"/>
      <c r="L66" s="463">
        <f aca="true" t="shared" si="7" ref="L66:Q66">SUM(L67:L69)</f>
        <v>0</v>
      </c>
      <c r="M66" s="464">
        <f t="shared" si="7"/>
        <v>0</v>
      </c>
      <c r="N66" s="575">
        <f t="shared" si="7"/>
        <v>0</v>
      </c>
      <c r="O66" s="576">
        <f t="shared" si="7"/>
        <v>0</v>
      </c>
      <c r="P66" s="576">
        <f t="shared" si="7"/>
        <v>0</v>
      </c>
      <c r="Q66" s="577">
        <f t="shared" si="7"/>
        <v>0</v>
      </c>
      <c r="R66" s="1523">
        <f t="shared" si="1"/>
        <v>0</v>
      </c>
      <c r="S66" s="495"/>
    </row>
    <row r="67" spans="1:19" ht="18.75" customHeight="1">
      <c r="A67" s="29">
        <v>56</v>
      </c>
      <c r="E67" s="40"/>
      <c r="H67" s="777"/>
      <c r="I67" s="1201"/>
      <c r="J67" s="1196">
        <v>1901</v>
      </c>
      <c r="K67" s="1227" t="s">
        <v>2007</v>
      </c>
      <c r="L67" s="619"/>
      <c r="M67" s="628">
        <f>N67+O67+P67+Q67</f>
        <v>0</v>
      </c>
      <c r="N67" s="542"/>
      <c r="O67" s="543"/>
      <c r="P67" s="543"/>
      <c r="Q67" s="544"/>
      <c r="R67" s="1523">
        <f t="shared" si="1"/>
        <v>0</v>
      </c>
      <c r="S67" s="495"/>
    </row>
    <row r="68" spans="1:19" ht="18.75" customHeight="1">
      <c r="A68" s="29">
        <v>57</v>
      </c>
      <c r="E68" s="40"/>
      <c r="H68" s="777"/>
      <c r="I68" s="1228"/>
      <c r="J68" s="1202">
        <v>1981</v>
      </c>
      <c r="K68" s="1229" t="s">
        <v>2008</v>
      </c>
      <c r="L68" s="621"/>
      <c r="M68" s="630">
        <f>N68+O68+P68+Q68</f>
        <v>0</v>
      </c>
      <c r="N68" s="545"/>
      <c r="O68" s="546"/>
      <c r="P68" s="546"/>
      <c r="Q68" s="547"/>
      <c r="R68" s="1523">
        <f t="shared" si="1"/>
        <v>0</v>
      </c>
      <c r="S68" s="495"/>
    </row>
    <row r="69" spans="1:19" ht="18.75" customHeight="1">
      <c r="A69" s="29">
        <v>58</v>
      </c>
      <c r="E69" s="40"/>
      <c r="H69" s="777"/>
      <c r="I69" s="1201"/>
      <c r="J69" s="1198">
        <v>1991</v>
      </c>
      <c r="K69" s="1230" t="s">
        <v>2009</v>
      </c>
      <c r="L69" s="625"/>
      <c r="M69" s="629">
        <f>N69+O69+P69+Q69</f>
        <v>0</v>
      </c>
      <c r="N69" s="554"/>
      <c r="O69" s="555"/>
      <c r="P69" s="555"/>
      <c r="Q69" s="556"/>
      <c r="R69" s="1523">
        <f t="shared" si="1"/>
        <v>0</v>
      </c>
      <c r="S69" s="495"/>
    </row>
    <row r="70" spans="1:19" ht="18.75" customHeight="1">
      <c r="A70" s="29">
        <v>59</v>
      </c>
      <c r="E70" s="40"/>
      <c r="H70" s="777"/>
      <c r="I70" s="1194">
        <v>2100</v>
      </c>
      <c r="J70" s="2217" t="s">
        <v>1016</v>
      </c>
      <c r="K70" s="2217"/>
      <c r="L70" s="463">
        <f aca="true" t="shared" si="8" ref="L70:Q70">SUM(L71:L75)</f>
        <v>0</v>
      </c>
      <c r="M70" s="464">
        <f t="shared" si="8"/>
        <v>0</v>
      </c>
      <c r="N70" s="575">
        <f t="shared" si="8"/>
        <v>0</v>
      </c>
      <c r="O70" s="576">
        <f t="shared" si="8"/>
        <v>0</v>
      </c>
      <c r="P70" s="576">
        <f t="shared" si="8"/>
        <v>0</v>
      </c>
      <c r="Q70" s="577">
        <f t="shared" si="8"/>
        <v>0</v>
      </c>
      <c r="R70" s="1523">
        <f t="shared" si="1"/>
        <v>0</v>
      </c>
      <c r="S70" s="495"/>
    </row>
    <row r="71" spans="1:19" ht="18.75" customHeight="1">
      <c r="A71" s="29">
        <v>60</v>
      </c>
      <c r="E71" s="40"/>
      <c r="H71" s="777"/>
      <c r="I71" s="1201"/>
      <c r="J71" s="1196">
        <v>2110</v>
      </c>
      <c r="K71" s="1231" t="s">
        <v>856</v>
      </c>
      <c r="L71" s="619"/>
      <c r="M71" s="628">
        <f>N71+O71+P71+Q71</f>
        <v>0</v>
      </c>
      <c r="N71" s="542"/>
      <c r="O71" s="543"/>
      <c r="P71" s="543"/>
      <c r="Q71" s="544"/>
      <c r="R71" s="1523">
        <f t="shared" si="1"/>
        <v>0</v>
      </c>
      <c r="S71" s="495"/>
    </row>
    <row r="72" spans="1:19" ht="18.75" customHeight="1">
      <c r="A72" s="29">
        <v>61</v>
      </c>
      <c r="E72" s="40"/>
      <c r="H72" s="777"/>
      <c r="I72" s="1228"/>
      <c r="J72" s="1202">
        <v>2120</v>
      </c>
      <c r="K72" s="1205" t="s">
        <v>857</v>
      </c>
      <c r="L72" s="621"/>
      <c r="M72" s="630">
        <f>N72+O72+P72+Q72</f>
        <v>0</v>
      </c>
      <c r="N72" s="545"/>
      <c r="O72" s="546"/>
      <c r="P72" s="546"/>
      <c r="Q72" s="547"/>
      <c r="R72" s="1523">
        <f t="shared" si="1"/>
        <v>0</v>
      </c>
      <c r="S72" s="495"/>
    </row>
    <row r="73" spans="1:19" ht="18.75" customHeight="1">
      <c r="A73" s="29">
        <v>62</v>
      </c>
      <c r="E73" s="40"/>
      <c r="H73" s="777"/>
      <c r="I73" s="1228"/>
      <c r="J73" s="1202">
        <v>2125</v>
      </c>
      <c r="K73" s="1205" t="s">
        <v>1362</v>
      </c>
      <c r="L73" s="621"/>
      <c r="M73" s="630">
        <f>N73+O73+P73+Q73</f>
        <v>0</v>
      </c>
      <c r="N73" s="545"/>
      <c r="O73" s="546"/>
      <c r="P73" s="1487">
        <v>0</v>
      </c>
      <c r="Q73" s="547"/>
      <c r="R73" s="1523">
        <f t="shared" si="1"/>
        <v>0</v>
      </c>
      <c r="S73" s="495"/>
    </row>
    <row r="74" spans="1:19" ht="18.75" customHeight="1">
      <c r="A74" s="29">
        <v>63</v>
      </c>
      <c r="H74" s="777"/>
      <c r="I74" s="1200"/>
      <c r="J74" s="1202">
        <v>2140</v>
      </c>
      <c r="K74" s="1205" t="s">
        <v>859</v>
      </c>
      <c r="L74" s="621"/>
      <c r="M74" s="630">
        <f>N74+O74+P74+Q74</f>
        <v>0</v>
      </c>
      <c r="N74" s="545"/>
      <c r="O74" s="546"/>
      <c r="P74" s="1487">
        <v>0</v>
      </c>
      <c r="Q74" s="547"/>
      <c r="R74" s="1523">
        <f t="shared" si="1"/>
        <v>0</v>
      </c>
      <c r="S74" s="495"/>
    </row>
    <row r="75" spans="1:19" ht="18.75" customHeight="1">
      <c r="A75" s="29">
        <v>64</v>
      </c>
      <c r="H75" s="777"/>
      <c r="I75" s="1201"/>
      <c r="J75" s="1198">
        <v>2190</v>
      </c>
      <c r="K75" s="1232" t="s">
        <v>860</v>
      </c>
      <c r="L75" s="625"/>
      <c r="M75" s="629">
        <f>N75+O75+P75+Q75</f>
        <v>0</v>
      </c>
      <c r="N75" s="554"/>
      <c r="O75" s="555"/>
      <c r="P75" s="1489">
        <v>0</v>
      </c>
      <c r="Q75" s="556"/>
      <c r="R75" s="1523">
        <f t="shared" si="1"/>
        <v>0</v>
      </c>
      <c r="S75" s="495"/>
    </row>
    <row r="76" spans="1:19" ht="18.75" customHeight="1">
      <c r="A76" s="29">
        <v>65</v>
      </c>
      <c r="H76" s="777"/>
      <c r="I76" s="1194">
        <v>2200</v>
      </c>
      <c r="J76" s="2217" t="s">
        <v>861</v>
      </c>
      <c r="K76" s="2217"/>
      <c r="L76" s="463">
        <f aca="true" t="shared" si="9" ref="L76:Q76">SUM(L77:L78)</f>
        <v>0</v>
      </c>
      <c r="M76" s="464">
        <f t="shared" si="9"/>
        <v>0</v>
      </c>
      <c r="N76" s="575">
        <f t="shared" si="9"/>
        <v>0</v>
      </c>
      <c r="O76" s="576">
        <f t="shared" si="9"/>
        <v>0</v>
      </c>
      <c r="P76" s="576">
        <f t="shared" si="9"/>
        <v>0</v>
      </c>
      <c r="Q76" s="577">
        <f t="shared" si="9"/>
        <v>0</v>
      </c>
      <c r="R76" s="1523">
        <f t="shared" si="1"/>
        <v>0</v>
      </c>
      <c r="S76" s="495"/>
    </row>
    <row r="77" spans="1:19" ht="18.75" customHeight="1">
      <c r="A77" s="29">
        <v>66</v>
      </c>
      <c r="H77" s="777"/>
      <c r="I77" s="1201"/>
      <c r="J77" s="1196">
        <v>2221</v>
      </c>
      <c r="K77" s="1197" t="s">
        <v>1209</v>
      </c>
      <c r="L77" s="619"/>
      <c r="M77" s="628">
        <f aca="true" t="shared" si="10" ref="M77:M82">N77+O77+P77+Q77</f>
        <v>0</v>
      </c>
      <c r="N77" s="542"/>
      <c r="O77" s="543"/>
      <c r="P77" s="543"/>
      <c r="Q77" s="544"/>
      <c r="R77" s="1523">
        <f t="shared" si="1"/>
        <v>0</v>
      </c>
      <c r="S77" s="495"/>
    </row>
    <row r="78" spans="1:19" ht="18.75" customHeight="1">
      <c r="A78" s="29">
        <v>67</v>
      </c>
      <c r="H78" s="777"/>
      <c r="I78" s="1201"/>
      <c r="J78" s="1198">
        <v>2224</v>
      </c>
      <c r="K78" s="1199" t="s">
        <v>862</v>
      </c>
      <c r="L78" s="625"/>
      <c r="M78" s="629">
        <f t="shared" si="10"/>
        <v>0</v>
      </c>
      <c r="N78" s="554"/>
      <c r="O78" s="555"/>
      <c r="P78" s="555"/>
      <c r="Q78" s="556"/>
      <c r="R78" s="1523">
        <f t="shared" si="1"/>
        <v>0</v>
      </c>
      <c r="S78" s="495"/>
    </row>
    <row r="79" spans="1:19" ht="18.75" customHeight="1">
      <c r="A79" s="29">
        <v>68</v>
      </c>
      <c r="H79" s="777"/>
      <c r="I79" s="1194">
        <v>2500</v>
      </c>
      <c r="J79" s="2217" t="s">
        <v>863</v>
      </c>
      <c r="K79" s="2224"/>
      <c r="L79" s="1504"/>
      <c r="M79" s="464">
        <f t="shared" si="10"/>
        <v>0</v>
      </c>
      <c r="N79" s="1308"/>
      <c r="O79" s="1309"/>
      <c r="P79" s="1309"/>
      <c r="Q79" s="1310"/>
      <c r="R79" s="1523">
        <f t="shared" si="1"/>
        <v>0</v>
      </c>
      <c r="S79" s="495"/>
    </row>
    <row r="80" spans="1:19" ht="18.75" customHeight="1">
      <c r="A80" s="29">
        <v>69</v>
      </c>
      <c r="H80" s="777"/>
      <c r="I80" s="1194">
        <v>2600</v>
      </c>
      <c r="J80" s="2222" t="s">
        <v>864</v>
      </c>
      <c r="K80" s="2223"/>
      <c r="L80" s="1504"/>
      <c r="M80" s="464">
        <f t="shared" si="10"/>
        <v>0</v>
      </c>
      <c r="N80" s="1308"/>
      <c r="O80" s="1309"/>
      <c r="P80" s="1309"/>
      <c r="Q80" s="1310"/>
      <c r="R80" s="1523">
        <f t="shared" si="1"/>
        <v>0</v>
      </c>
      <c r="S80" s="495"/>
    </row>
    <row r="81" spans="1:19" ht="18.75" customHeight="1">
      <c r="A81" s="29">
        <v>70</v>
      </c>
      <c r="H81" s="777"/>
      <c r="I81" s="1194">
        <v>2700</v>
      </c>
      <c r="J81" s="2222" t="s">
        <v>865</v>
      </c>
      <c r="K81" s="2223"/>
      <c r="L81" s="1504"/>
      <c r="M81" s="464">
        <f t="shared" si="10"/>
        <v>0</v>
      </c>
      <c r="N81" s="1308"/>
      <c r="O81" s="1309"/>
      <c r="P81" s="1309"/>
      <c r="Q81" s="1310"/>
      <c r="R81" s="1523">
        <f t="shared" si="1"/>
        <v>0</v>
      </c>
      <c r="S81" s="495"/>
    </row>
    <row r="82" spans="1:19" ht="37.5" customHeight="1">
      <c r="A82" s="29">
        <v>71</v>
      </c>
      <c r="H82" s="777"/>
      <c r="I82" s="1194">
        <v>2800</v>
      </c>
      <c r="J82" s="2222" t="s">
        <v>143</v>
      </c>
      <c r="K82" s="2223"/>
      <c r="L82" s="1504"/>
      <c r="M82" s="464">
        <f t="shared" si="10"/>
        <v>0</v>
      </c>
      <c r="N82" s="1308"/>
      <c r="O82" s="1309"/>
      <c r="P82" s="1309"/>
      <c r="Q82" s="1310"/>
      <c r="R82" s="1523">
        <f t="shared" si="1"/>
        <v>0</v>
      </c>
      <c r="S82" s="495"/>
    </row>
    <row r="83" spans="1:19" ht="19.5" customHeight="1">
      <c r="A83" s="29">
        <v>72</v>
      </c>
      <c r="H83" s="777"/>
      <c r="I83" s="1194">
        <v>2900</v>
      </c>
      <c r="J83" s="2217" t="s">
        <v>866</v>
      </c>
      <c r="K83" s="2217"/>
      <c r="L83" s="463">
        <f aca="true" t="shared" si="11" ref="L83:Q83">SUM(L84:L91)</f>
        <v>0</v>
      </c>
      <c r="M83" s="464">
        <f t="shared" si="11"/>
        <v>0</v>
      </c>
      <c r="N83" s="575">
        <f t="shared" si="11"/>
        <v>0</v>
      </c>
      <c r="O83" s="576">
        <f t="shared" si="11"/>
        <v>0</v>
      </c>
      <c r="P83" s="576">
        <f t="shared" si="11"/>
        <v>0</v>
      </c>
      <c r="Q83" s="577">
        <f t="shared" si="11"/>
        <v>0</v>
      </c>
      <c r="R83" s="1523">
        <f t="shared" si="1"/>
        <v>0</v>
      </c>
      <c r="S83" s="495"/>
    </row>
    <row r="84" spans="1:19" ht="19.5" customHeight="1">
      <c r="A84" s="29">
        <v>73</v>
      </c>
      <c r="H84" s="777"/>
      <c r="I84" s="1233"/>
      <c r="J84" s="1196">
        <v>2910</v>
      </c>
      <c r="K84" s="1234" t="s">
        <v>2110</v>
      </c>
      <c r="L84" s="619"/>
      <c r="M84" s="628">
        <f aca="true" t="shared" si="12" ref="M84:M91">N84+O84+P84+Q84</f>
        <v>0</v>
      </c>
      <c r="N84" s="542"/>
      <c r="O84" s="543"/>
      <c r="P84" s="543"/>
      <c r="Q84" s="544"/>
      <c r="R84" s="1523">
        <f t="shared" si="1"/>
        <v>0</v>
      </c>
      <c r="S84" s="495"/>
    </row>
    <row r="85" spans="1:19" ht="15.75">
      <c r="A85" s="29">
        <v>74</v>
      </c>
      <c r="H85" s="777"/>
      <c r="I85" s="1233"/>
      <c r="J85" s="1220">
        <v>2920</v>
      </c>
      <c r="K85" s="1235" t="s">
        <v>2109</v>
      </c>
      <c r="L85" s="1506"/>
      <c r="M85" s="635">
        <f>N85+O85+P85+Q85</f>
        <v>0</v>
      </c>
      <c r="N85" s="548"/>
      <c r="O85" s="549"/>
      <c r="P85" s="549"/>
      <c r="Q85" s="550"/>
      <c r="R85" s="1523">
        <f t="shared" si="1"/>
        <v>0</v>
      </c>
      <c r="S85" s="495"/>
    </row>
    <row r="86" spans="1:19" ht="31.5">
      <c r="A86" s="29">
        <v>75</v>
      </c>
      <c r="H86" s="777"/>
      <c r="I86" s="1233"/>
      <c r="J86" s="1220">
        <v>2969</v>
      </c>
      <c r="K86" s="1235" t="s">
        <v>867</v>
      </c>
      <c r="L86" s="1506"/>
      <c r="M86" s="635">
        <f t="shared" si="12"/>
        <v>0</v>
      </c>
      <c r="N86" s="548"/>
      <c r="O86" s="549"/>
      <c r="P86" s="549"/>
      <c r="Q86" s="550"/>
      <c r="R86" s="1523">
        <f t="shared" si="1"/>
        <v>0</v>
      </c>
      <c r="S86" s="495"/>
    </row>
    <row r="87" spans="1:19" ht="31.5">
      <c r="A87" s="29">
        <v>76</v>
      </c>
      <c r="H87" s="777"/>
      <c r="I87" s="1233"/>
      <c r="J87" s="1236">
        <v>2970</v>
      </c>
      <c r="K87" s="1237" t="s">
        <v>868</v>
      </c>
      <c r="L87" s="1508"/>
      <c r="M87" s="639">
        <f t="shared" si="12"/>
        <v>0</v>
      </c>
      <c r="N87" s="742"/>
      <c r="O87" s="743"/>
      <c r="P87" s="743"/>
      <c r="Q87" s="718"/>
      <c r="R87" s="1523">
        <f t="shared" si="1"/>
        <v>0</v>
      </c>
      <c r="S87" s="495"/>
    </row>
    <row r="88" spans="1:19" ht="15.75">
      <c r="A88" s="29">
        <v>77</v>
      </c>
      <c r="H88" s="777"/>
      <c r="I88" s="1233"/>
      <c r="J88" s="1224">
        <v>2989</v>
      </c>
      <c r="K88" s="1238" t="s">
        <v>869</v>
      </c>
      <c r="L88" s="1507"/>
      <c r="M88" s="637">
        <f t="shared" si="12"/>
        <v>0</v>
      </c>
      <c r="N88" s="734"/>
      <c r="O88" s="735"/>
      <c r="P88" s="735"/>
      <c r="Q88" s="699"/>
      <c r="R88" s="1523">
        <f t="shared" si="1"/>
        <v>0</v>
      </c>
      <c r="S88" s="495"/>
    </row>
    <row r="89" spans="1:19" ht="31.5">
      <c r="A89" s="29">
        <v>78</v>
      </c>
      <c r="H89" s="777"/>
      <c r="I89" s="1201"/>
      <c r="J89" s="1218">
        <v>2990</v>
      </c>
      <c r="K89" s="1239" t="s">
        <v>2111</v>
      </c>
      <c r="L89" s="1505"/>
      <c r="M89" s="633">
        <f>N89+O89+P89+Q89</f>
        <v>0</v>
      </c>
      <c r="N89" s="551"/>
      <c r="O89" s="552"/>
      <c r="P89" s="552"/>
      <c r="Q89" s="553"/>
      <c r="R89" s="1523">
        <f t="shared" si="1"/>
        <v>0</v>
      </c>
      <c r="S89" s="495"/>
    </row>
    <row r="90" spans="1:19" ht="18.75" customHeight="1">
      <c r="A90" s="29">
        <v>79</v>
      </c>
      <c r="H90" s="777"/>
      <c r="I90" s="1201"/>
      <c r="J90" s="1218">
        <v>2991</v>
      </c>
      <c r="K90" s="1239" t="s">
        <v>870</v>
      </c>
      <c r="L90" s="1505"/>
      <c r="M90" s="633">
        <f t="shared" si="12"/>
        <v>0</v>
      </c>
      <c r="N90" s="551"/>
      <c r="O90" s="552"/>
      <c r="P90" s="552"/>
      <c r="Q90" s="553"/>
      <c r="R90" s="1523">
        <f t="shared" si="1"/>
        <v>0</v>
      </c>
      <c r="S90" s="495"/>
    </row>
    <row r="91" spans="1:19" ht="18.75" customHeight="1">
      <c r="A91" s="29">
        <v>80</v>
      </c>
      <c r="H91" s="777"/>
      <c r="I91" s="1201"/>
      <c r="J91" s="1198">
        <v>2992</v>
      </c>
      <c r="K91" s="1240" t="s">
        <v>871</v>
      </c>
      <c r="L91" s="625"/>
      <c r="M91" s="629">
        <f t="shared" si="12"/>
        <v>0</v>
      </c>
      <c r="N91" s="554"/>
      <c r="O91" s="555"/>
      <c r="P91" s="555"/>
      <c r="Q91" s="556"/>
      <c r="R91" s="1523">
        <f t="shared" si="1"/>
        <v>0</v>
      </c>
      <c r="S91" s="495"/>
    </row>
    <row r="92" spans="1:19" ht="18.75" customHeight="1">
      <c r="A92" s="29">
        <v>81</v>
      </c>
      <c r="H92" s="777"/>
      <c r="I92" s="1194">
        <v>3300</v>
      </c>
      <c r="J92" s="1241" t="s">
        <v>872</v>
      </c>
      <c r="K92" s="1358"/>
      <c r="L92" s="463">
        <f aca="true" t="shared" si="13" ref="L92:Q92">SUM(L93:L98)</f>
        <v>0</v>
      </c>
      <c r="M92" s="464">
        <f t="shared" si="13"/>
        <v>0</v>
      </c>
      <c r="N92" s="575">
        <f t="shared" si="13"/>
        <v>0</v>
      </c>
      <c r="O92" s="576">
        <f t="shared" si="13"/>
        <v>0</v>
      </c>
      <c r="P92" s="576">
        <f t="shared" si="13"/>
        <v>0</v>
      </c>
      <c r="Q92" s="577">
        <f t="shared" si="13"/>
        <v>0</v>
      </c>
      <c r="R92" s="1523">
        <f t="shared" si="1"/>
        <v>0</v>
      </c>
      <c r="S92" s="495"/>
    </row>
    <row r="93" spans="1:19" ht="18.75" customHeight="1">
      <c r="A93" s="29">
        <v>82</v>
      </c>
      <c r="H93" s="777"/>
      <c r="I93" s="1200"/>
      <c r="J93" s="1196">
        <v>3301</v>
      </c>
      <c r="K93" s="1242" t="s">
        <v>873</v>
      </c>
      <c r="L93" s="619"/>
      <c r="M93" s="628">
        <f aca="true" t="shared" si="14" ref="M93:M101">N93+O93+P93+Q93</f>
        <v>0</v>
      </c>
      <c r="N93" s="542"/>
      <c r="O93" s="543"/>
      <c r="P93" s="1485">
        <v>0</v>
      </c>
      <c r="Q93" s="749">
        <v>0</v>
      </c>
      <c r="R93" s="1523">
        <f t="shared" si="1"/>
        <v>0</v>
      </c>
      <c r="S93" s="495"/>
    </row>
    <row r="94" spans="1:19" ht="18.75" customHeight="1">
      <c r="A94" s="29">
        <v>83</v>
      </c>
      <c r="H94" s="777"/>
      <c r="I94" s="1200"/>
      <c r="J94" s="1202">
        <v>3302</v>
      </c>
      <c r="K94" s="1243" t="s">
        <v>1363</v>
      </c>
      <c r="L94" s="621"/>
      <c r="M94" s="630">
        <f t="shared" si="14"/>
        <v>0</v>
      </c>
      <c r="N94" s="545"/>
      <c r="O94" s="546"/>
      <c r="P94" s="1487">
        <v>0</v>
      </c>
      <c r="Q94" s="750">
        <v>0</v>
      </c>
      <c r="R94" s="1523">
        <f t="shared" si="1"/>
        <v>0</v>
      </c>
      <c r="S94" s="495"/>
    </row>
    <row r="95" spans="1:19" ht="18.75" customHeight="1">
      <c r="A95" s="29">
        <v>84</v>
      </c>
      <c r="H95" s="777"/>
      <c r="I95" s="1200"/>
      <c r="J95" s="1202">
        <v>3303</v>
      </c>
      <c r="K95" s="1243" t="s">
        <v>874</v>
      </c>
      <c r="L95" s="621"/>
      <c r="M95" s="630">
        <f t="shared" si="14"/>
        <v>0</v>
      </c>
      <c r="N95" s="545"/>
      <c r="O95" s="546"/>
      <c r="P95" s="1487">
        <v>0</v>
      </c>
      <c r="Q95" s="750">
        <v>0</v>
      </c>
      <c r="R95" s="1523">
        <f t="shared" si="1"/>
        <v>0</v>
      </c>
      <c r="S95" s="495"/>
    </row>
    <row r="96" spans="1:19" ht="18.75" customHeight="1">
      <c r="A96" s="29">
        <v>85</v>
      </c>
      <c r="H96" s="777"/>
      <c r="I96" s="1200"/>
      <c r="J96" s="1202">
        <v>3304</v>
      </c>
      <c r="K96" s="1243" t="s">
        <v>875</v>
      </c>
      <c r="L96" s="621"/>
      <c r="M96" s="630">
        <f t="shared" si="14"/>
        <v>0</v>
      </c>
      <c r="N96" s="545"/>
      <c r="O96" s="546"/>
      <c r="P96" s="1487">
        <v>0</v>
      </c>
      <c r="Q96" s="750">
        <v>0</v>
      </c>
      <c r="R96" s="1523">
        <f t="shared" si="1"/>
        <v>0</v>
      </c>
      <c r="S96" s="495"/>
    </row>
    <row r="97" spans="1:19" ht="18.75" customHeight="1">
      <c r="A97" s="29">
        <v>86</v>
      </c>
      <c r="H97" s="777"/>
      <c r="I97" s="1200"/>
      <c r="J97" s="1202">
        <v>3305</v>
      </c>
      <c r="K97" s="1243" t="s">
        <v>876</v>
      </c>
      <c r="L97" s="621"/>
      <c r="M97" s="630">
        <f t="shared" si="14"/>
        <v>0</v>
      </c>
      <c r="N97" s="545"/>
      <c r="O97" s="546"/>
      <c r="P97" s="1487">
        <v>0</v>
      </c>
      <c r="Q97" s="750">
        <v>0</v>
      </c>
      <c r="R97" s="1523">
        <f t="shared" si="1"/>
        <v>0</v>
      </c>
      <c r="S97" s="495"/>
    </row>
    <row r="98" spans="1:19" ht="30">
      <c r="A98" s="29">
        <v>87</v>
      </c>
      <c r="H98" s="777"/>
      <c r="I98" s="1200"/>
      <c r="J98" s="1198">
        <v>3306</v>
      </c>
      <c r="K98" s="1244" t="s">
        <v>144</v>
      </c>
      <c r="L98" s="625"/>
      <c r="M98" s="629">
        <f t="shared" si="14"/>
        <v>0</v>
      </c>
      <c r="N98" s="554"/>
      <c r="O98" s="555"/>
      <c r="P98" s="1489">
        <v>0</v>
      </c>
      <c r="Q98" s="1494">
        <v>0</v>
      </c>
      <c r="R98" s="1523">
        <f t="shared" si="1"/>
        <v>0</v>
      </c>
      <c r="S98" s="495"/>
    </row>
    <row r="99" spans="1:19" ht="18.75" customHeight="1">
      <c r="A99" s="29">
        <v>88</v>
      </c>
      <c r="H99" s="777"/>
      <c r="I99" s="1194">
        <v>3900</v>
      </c>
      <c r="J99" s="2217" t="s">
        <v>877</v>
      </c>
      <c r="K99" s="2217"/>
      <c r="L99" s="1504"/>
      <c r="M99" s="464">
        <f t="shared" si="14"/>
        <v>0</v>
      </c>
      <c r="N99" s="1308"/>
      <c r="O99" s="1309"/>
      <c r="P99" s="1309"/>
      <c r="Q99" s="1310"/>
      <c r="R99" s="1523">
        <f aca="true" t="shared" si="15" ref="R99:R146">(IF($E99&lt;&gt;0,$K$2,IF($F99&lt;&gt;0,$K$2,IF($G99&lt;&gt;0,$K$2,IF($H99&lt;&gt;0,$K$2,IF($I99&lt;&gt;0,$K$2,IF($J99&lt;&gt;0,$K$2,"")))))))</f>
        <v>0</v>
      </c>
      <c r="S99" s="495"/>
    </row>
    <row r="100" spans="1:19" ht="18.75" customHeight="1">
      <c r="A100" s="29">
        <v>89</v>
      </c>
      <c r="H100" s="777"/>
      <c r="I100" s="1194">
        <v>4000</v>
      </c>
      <c r="J100" s="2217" t="s">
        <v>878</v>
      </c>
      <c r="K100" s="2217"/>
      <c r="L100" s="1504"/>
      <c r="M100" s="464">
        <f t="shared" si="14"/>
        <v>0</v>
      </c>
      <c r="N100" s="1308"/>
      <c r="O100" s="1309"/>
      <c r="P100" s="1309"/>
      <c r="Q100" s="1310"/>
      <c r="R100" s="1523">
        <f t="shared" si="15"/>
        <v>0</v>
      </c>
      <c r="S100" s="495"/>
    </row>
    <row r="101" spans="1:19" ht="18.75" customHeight="1">
      <c r="A101" s="29">
        <v>90</v>
      </c>
      <c r="H101" s="777"/>
      <c r="I101" s="1194">
        <v>4100</v>
      </c>
      <c r="J101" s="2217" t="s">
        <v>879</v>
      </c>
      <c r="K101" s="2217"/>
      <c r="L101" s="1504"/>
      <c r="M101" s="464">
        <f t="shared" si="14"/>
        <v>0</v>
      </c>
      <c r="N101" s="1308"/>
      <c r="O101" s="1309"/>
      <c r="P101" s="1309"/>
      <c r="Q101" s="1310"/>
      <c r="R101" s="1523">
        <f t="shared" si="15"/>
        <v>0</v>
      </c>
      <c r="S101" s="495"/>
    </row>
    <row r="102" spans="1:19" ht="18.75" customHeight="1">
      <c r="A102" s="29">
        <v>91</v>
      </c>
      <c r="H102" s="777"/>
      <c r="I102" s="1194">
        <v>4200</v>
      </c>
      <c r="J102" s="2217" t="s">
        <v>880</v>
      </c>
      <c r="K102" s="2217"/>
      <c r="L102" s="463">
        <f aca="true" t="shared" si="16" ref="L102:Q102">SUM(L103:L108)</f>
        <v>0</v>
      </c>
      <c r="M102" s="464">
        <f t="shared" si="16"/>
        <v>0</v>
      </c>
      <c r="N102" s="575">
        <f t="shared" si="16"/>
        <v>0</v>
      </c>
      <c r="O102" s="576">
        <f t="shared" si="16"/>
        <v>0</v>
      </c>
      <c r="P102" s="576">
        <f t="shared" si="16"/>
        <v>0</v>
      </c>
      <c r="Q102" s="577">
        <f t="shared" si="16"/>
        <v>0</v>
      </c>
      <c r="R102" s="1523">
        <f t="shared" si="15"/>
        <v>0</v>
      </c>
      <c r="S102" s="495"/>
    </row>
    <row r="103" spans="1:19" ht="18.75" customHeight="1">
      <c r="A103" s="29">
        <v>92</v>
      </c>
      <c r="H103" s="777"/>
      <c r="I103" s="1245"/>
      <c r="J103" s="1196">
        <v>4201</v>
      </c>
      <c r="K103" s="1197" t="s">
        <v>1269</v>
      </c>
      <c r="L103" s="619"/>
      <c r="M103" s="628">
        <f aca="true" t="shared" si="17" ref="M103:M108">N103+O103+P103+Q103</f>
        <v>0</v>
      </c>
      <c r="N103" s="542"/>
      <c r="O103" s="543"/>
      <c r="P103" s="543"/>
      <c r="Q103" s="544"/>
      <c r="R103" s="1523">
        <f t="shared" si="15"/>
        <v>0</v>
      </c>
      <c r="S103" s="495"/>
    </row>
    <row r="104" spans="1:19" ht="18.75" customHeight="1">
      <c r="A104" s="29">
        <v>93</v>
      </c>
      <c r="H104" s="777"/>
      <c r="I104" s="1245"/>
      <c r="J104" s="1202">
        <v>4202</v>
      </c>
      <c r="K104" s="1246" t="s">
        <v>1270</v>
      </c>
      <c r="L104" s="621"/>
      <c r="M104" s="630">
        <f t="shared" si="17"/>
        <v>0</v>
      </c>
      <c r="N104" s="545"/>
      <c r="O104" s="546"/>
      <c r="P104" s="546"/>
      <c r="Q104" s="547"/>
      <c r="R104" s="1523">
        <f t="shared" si="15"/>
        <v>0</v>
      </c>
      <c r="S104" s="495"/>
    </row>
    <row r="105" spans="1:19" ht="18.75" customHeight="1">
      <c r="A105" s="29">
        <v>94</v>
      </c>
      <c r="H105" s="777"/>
      <c r="I105" s="1245"/>
      <c r="J105" s="1202">
        <v>4214</v>
      </c>
      <c r="K105" s="1246" t="s">
        <v>1271</v>
      </c>
      <c r="L105" s="621"/>
      <c r="M105" s="630">
        <f t="shared" si="17"/>
        <v>0</v>
      </c>
      <c r="N105" s="545"/>
      <c r="O105" s="546"/>
      <c r="P105" s="546"/>
      <c r="Q105" s="547"/>
      <c r="R105" s="1523">
        <f t="shared" si="15"/>
        <v>0</v>
      </c>
      <c r="S105" s="495"/>
    </row>
    <row r="106" spans="1:19" ht="18.75" customHeight="1">
      <c r="A106" s="29">
        <v>95</v>
      </c>
      <c r="H106" s="777"/>
      <c r="I106" s="1245"/>
      <c r="J106" s="1202">
        <v>4217</v>
      </c>
      <c r="K106" s="1246" t="s">
        <v>1272</v>
      </c>
      <c r="L106" s="621"/>
      <c r="M106" s="630">
        <f t="shared" si="17"/>
        <v>0</v>
      </c>
      <c r="N106" s="545"/>
      <c r="O106" s="546"/>
      <c r="P106" s="546"/>
      <c r="Q106" s="547"/>
      <c r="R106" s="1523">
        <f t="shared" si="15"/>
        <v>0</v>
      </c>
      <c r="S106" s="495"/>
    </row>
    <row r="107" spans="1:19" ht="18.75" customHeight="1">
      <c r="A107" s="29">
        <v>96</v>
      </c>
      <c r="H107" s="777"/>
      <c r="I107" s="1245"/>
      <c r="J107" s="1202">
        <v>4218</v>
      </c>
      <c r="K107" s="1203" t="s">
        <v>1273</v>
      </c>
      <c r="L107" s="621"/>
      <c r="M107" s="630">
        <f t="shared" si="17"/>
        <v>0</v>
      </c>
      <c r="N107" s="545"/>
      <c r="O107" s="546"/>
      <c r="P107" s="546"/>
      <c r="Q107" s="547"/>
      <c r="R107" s="1523">
        <f t="shared" si="15"/>
        <v>0</v>
      </c>
      <c r="S107" s="495"/>
    </row>
    <row r="108" spans="1:19" ht="18.75" customHeight="1">
      <c r="A108" s="29">
        <v>97</v>
      </c>
      <c r="H108" s="777"/>
      <c r="I108" s="1245"/>
      <c r="J108" s="1198">
        <v>4219</v>
      </c>
      <c r="K108" s="1230" t="s">
        <v>1274</v>
      </c>
      <c r="L108" s="625"/>
      <c r="M108" s="629">
        <f t="shared" si="17"/>
        <v>0</v>
      </c>
      <c r="N108" s="554"/>
      <c r="O108" s="555"/>
      <c r="P108" s="555"/>
      <c r="Q108" s="556"/>
      <c r="R108" s="1523">
        <f t="shared" si="15"/>
        <v>0</v>
      </c>
      <c r="S108" s="495"/>
    </row>
    <row r="109" spans="1:19" ht="18.75" customHeight="1">
      <c r="A109" s="29">
        <v>98</v>
      </c>
      <c r="H109" s="777"/>
      <c r="I109" s="1194">
        <v>4300</v>
      </c>
      <c r="J109" s="2217" t="s">
        <v>148</v>
      </c>
      <c r="K109" s="2217"/>
      <c r="L109" s="463">
        <f aca="true" t="shared" si="18" ref="L109:Q109">SUM(L110:L112)</f>
        <v>0</v>
      </c>
      <c r="M109" s="464">
        <f t="shared" si="18"/>
        <v>0</v>
      </c>
      <c r="N109" s="575">
        <f t="shared" si="18"/>
        <v>0</v>
      </c>
      <c r="O109" s="576">
        <f t="shared" si="18"/>
        <v>0</v>
      </c>
      <c r="P109" s="576">
        <f t="shared" si="18"/>
        <v>0</v>
      </c>
      <c r="Q109" s="577">
        <f t="shared" si="18"/>
        <v>0</v>
      </c>
      <c r="R109" s="1523">
        <f t="shared" si="15"/>
        <v>0</v>
      </c>
      <c r="S109" s="495"/>
    </row>
    <row r="110" spans="1:19" ht="18.75" customHeight="1">
      <c r="A110" s="29">
        <v>99</v>
      </c>
      <c r="H110" s="777"/>
      <c r="I110" s="1245"/>
      <c r="J110" s="1196">
        <v>4301</v>
      </c>
      <c r="K110" s="1215" t="s">
        <v>1275</v>
      </c>
      <c r="L110" s="619"/>
      <c r="M110" s="628">
        <f aca="true" t="shared" si="19" ref="M110:M115">N110+O110+P110+Q110</f>
        <v>0</v>
      </c>
      <c r="N110" s="542"/>
      <c r="O110" s="543"/>
      <c r="P110" s="543"/>
      <c r="Q110" s="544"/>
      <c r="R110" s="1523">
        <f t="shared" si="15"/>
        <v>0</v>
      </c>
      <c r="S110" s="495"/>
    </row>
    <row r="111" spans="1:19" ht="18.75" customHeight="1">
      <c r="A111" s="29">
        <v>100</v>
      </c>
      <c r="H111" s="777"/>
      <c r="I111" s="1245"/>
      <c r="J111" s="1202">
        <v>4302</v>
      </c>
      <c r="K111" s="1246" t="s">
        <v>1364</v>
      </c>
      <c r="L111" s="621"/>
      <c r="M111" s="630">
        <f t="shared" si="19"/>
        <v>0</v>
      </c>
      <c r="N111" s="545"/>
      <c r="O111" s="546"/>
      <c r="P111" s="546"/>
      <c r="Q111" s="547"/>
      <c r="R111" s="1523">
        <f t="shared" si="15"/>
        <v>0</v>
      </c>
      <c r="S111" s="495"/>
    </row>
    <row r="112" spans="1:19" ht="18.75" customHeight="1">
      <c r="A112" s="29">
        <v>101</v>
      </c>
      <c r="H112" s="777"/>
      <c r="I112" s="1245"/>
      <c r="J112" s="1198">
        <v>4309</v>
      </c>
      <c r="K112" s="1206" t="s">
        <v>1277</v>
      </c>
      <c r="L112" s="625"/>
      <c r="M112" s="629">
        <f t="shared" si="19"/>
        <v>0</v>
      </c>
      <c r="N112" s="554"/>
      <c r="O112" s="555"/>
      <c r="P112" s="555"/>
      <c r="Q112" s="556"/>
      <c r="R112" s="1523">
        <f t="shared" si="15"/>
        <v>0</v>
      </c>
      <c r="S112" s="495"/>
    </row>
    <row r="113" spans="1:19" ht="18.75" customHeight="1">
      <c r="A113" s="29">
        <v>102</v>
      </c>
      <c r="H113" s="777"/>
      <c r="I113" s="1194">
        <v>4400</v>
      </c>
      <c r="J113" s="2217" t="s">
        <v>145</v>
      </c>
      <c r="K113" s="2217"/>
      <c r="L113" s="1504"/>
      <c r="M113" s="464">
        <f t="shared" si="19"/>
        <v>0</v>
      </c>
      <c r="N113" s="1308"/>
      <c r="O113" s="1309"/>
      <c r="P113" s="1309"/>
      <c r="Q113" s="1310"/>
      <c r="R113" s="1523">
        <f t="shared" si="15"/>
        <v>0</v>
      </c>
      <c r="S113" s="495"/>
    </row>
    <row r="114" spans="1:19" ht="18.75" customHeight="1">
      <c r="A114" s="29">
        <v>103</v>
      </c>
      <c r="H114" s="777"/>
      <c r="I114" s="1194">
        <v>4500</v>
      </c>
      <c r="J114" s="2217" t="s">
        <v>146</v>
      </c>
      <c r="K114" s="2217"/>
      <c r="L114" s="1504"/>
      <c r="M114" s="464">
        <f t="shared" si="19"/>
        <v>0</v>
      </c>
      <c r="N114" s="1308"/>
      <c r="O114" s="1309"/>
      <c r="P114" s="1309"/>
      <c r="Q114" s="1310"/>
      <c r="R114" s="1523">
        <f t="shared" si="15"/>
        <v>0</v>
      </c>
      <c r="S114" s="495"/>
    </row>
    <row r="115" spans="1:19" ht="18.75" customHeight="1">
      <c r="A115" s="29">
        <v>104</v>
      </c>
      <c r="H115" s="777"/>
      <c r="I115" s="1194">
        <v>4600</v>
      </c>
      <c r="J115" s="2222" t="s">
        <v>1278</v>
      </c>
      <c r="K115" s="2223"/>
      <c r="L115" s="1504"/>
      <c r="M115" s="464">
        <f t="shared" si="19"/>
        <v>0</v>
      </c>
      <c r="N115" s="1308"/>
      <c r="O115" s="1309"/>
      <c r="P115" s="1309"/>
      <c r="Q115" s="1310"/>
      <c r="R115" s="1523">
        <f t="shared" si="15"/>
        <v>0</v>
      </c>
      <c r="S115" s="495"/>
    </row>
    <row r="116" spans="1:19" ht="18.75" customHeight="1">
      <c r="A116" s="29">
        <v>105</v>
      </c>
      <c r="H116" s="777"/>
      <c r="I116" s="1194">
        <v>4900</v>
      </c>
      <c r="J116" s="2217" t="s">
        <v>2010</v>
      </c>
      <c r="K116" s="2217"/>
      <c r="L116" s="463">
        <f aca="true" t="shared" si="20" ref="L116:Q116">+L117+L118</f>
        <v>0</v>
      </c>
      <c r="M116" s="464">
        <f t="shared" si="20"/>
        <v>0</v>
      </c>
      <c r="N116" s="575">
        <f t="shared" si="20"/>
        <v>0</v>
      </c>
      <c r="O116" s="576">
        <f t="shared" si="20"/>
        <v>0</v>
      </c>
      <c r="P116" s="576">
        <f t="shared" si="20"/>
        <v>0</v>
      </c>
      <c r="Q116" s="577">
        <f t="shared" si="20"/>
        <v>0</v>
      </c>
      <c r="R116" s="1523">
        <f t="shared" si="15"/>
        <v>0</v>
      </c>
      <c r="S116" s="495"/>
    </row>
    <row r="117" spans="1:19" ht="18.75" customHeight="1">
      <c r="A117" s="29">
        <v>106</v>
      </c>
      <c r="H117" s="777"/>
      <c r="I117" s="1245"/>
      <c r="J117" s="1196">
        <v>4901</v>
      </c>
      <c r="K117" s="1247" t="s">
        <v>2011</v>
      </c>
      <c r="L117" s="619"/>
      <c r="M117" s="628">
        <f>N117+O117+P117+Q117</f>
        <v>0</v>
      </c>
      <c r="N117" s="542"/>
      <c r="O117" s="543"/>
      <c r="P117" s="543"/>
      <c r="Q117" s="544"/>
      <c r="R117" s="1523">
        <f t="shared" si="15"/>
        <v>0</v>
      </c>
      <c r="S117" s="495"/>
    </row>
    <row r="118" spans="1:19" ht="18.75" customHeight="1">
      <c r="A118" s="29">
        <v>107</v>
      </c>
      <c r="H118" s="777"/>
      <c r="I118" s="1245"/>
      <c r="J118" s="1198">
        <v>4902</v>
      </c>
      <c r="K118" s="1206" t="s">
        <v>2012</v>
      </c>
      <c r="L118" s="625"/>
      <c r="M118" s="629">
        <f>N118+O118+P118+Q118</f>
        <v>0</v>
      </c>
      <c r="N118" s="554"/>
      <c r="O118" s="555"/>
      <c r="P118" s="555"/>
      <c r="Q118" s="556"/>
      <c r="R118" s="1523">
        <f t="shared" si="15"/>
        <v>0</v>
      </c>
      <c r="S118" s="495"/>
    </row>
    <row r="119" spans="1:19" ht="18.75" customHeight="1">
      <c r="A119" s="29">
        <v>108</v>
      </c>
      <c r="H119" s="777"/>
      <c r="I119" s="1248">
        <v>5100</v>
      </c>
      <c r="J119" s="2216" t="s">
        <v>1279</v>
      </c>
      <c r="K119" s="2216"/>
      <c r="L119" s="1504"/>
      <c r="M119" s="464">
        <f>N119+O119+P119+Q119</f>
        <v>0</v>
      </c>
      <c r="N119" s="1308"/>
      <c r="O119" s="1309"/>
      <c r="P119" s="1309"/>
      <c r="Q119" s="1310"/>
      <c r="R119" s="1523">
        <f t="shared" si="15"/>
        <v>0</v>
      </c>
      <c r="S119" s="495"/>
    </row>
    <row r="120" spans="1:19" ht="18.75" customHeight="1">
      <c r="A120" s="29">
        <v>109</v>
      </c>
      <c r="H120" s="777"/>
      <c r="I120" s="1248">
        <v>5200</v>
      </c>
      <c r="J120" s="2216" t="s">
        <v>1280</v>
      </c>
      <c r="K120" s="2216"/>
      <c r="L120" s="463">
        <f aca="true" t="shared" si="21" ref="L120:Q120">SUM(L121:L127)</f>
        <v>0</v>
      </c>
      <c r="M120" s="464">
        <f t="shared" si="21"/>
        <v>0</v>
      </c>
      <c r="N120" s="575">
        <f t="shared" si="21"/>
        <v>0</v>
      </c>
      <c r="O120" s="576">
        <f t="shared" si="21"/>
        <v>0</v>
      </c>
      <c r="P120" s="576">
        <f t="shared" si="21"/>
        <v>0</v>
      </c>
      <c r="Q120" s="577">
        <f t="shared" si="21"/>
        <v>0</v>
      </c>
      <c r="R120" s="1523">
        <f t="shared" si="15"/>
        <v>0</v>
      </c>
      <c r="S120" s="495"/>
    </row>
    <row r="121" spans="1:19" ht="18.75" customHeight="1">
      <c r="A121" s="29">
        <v>110</v>
      </c>
      <c r="H121" s="777"/>
      <c r="I121" s="1249"/>
      <c r="J121" s="1250">
        <v>5201</v>
      </c>
      <c r="K121" s="1251" t="s">
        <v>1281</v>
      </c>
      <c r="L121" s="619"/>
      <c r="M121" s="628">
        <f aca="true" t="shared" si="22" ref="M121:M127">N121+O121+P121+Q121</f>
        <v>0</v>
      </c>
      <c r="N121" s="542"/>
      <c r="O121" s="543"/>
      <c r="P121" s="543"/>
      <c r="Q121" s="544"/>
      <c r="R121" s="1523">
        <f t="shared" si="15"/>
        <v>0</v>
      </c>
      <c r="S121" s="495"/>
    </row>
    <row r="122" spans="1:19" ht="18.75" customHeight="1">
      <c r="A122" s="29">
        <v>111</v>
      </c>
      <c r="H122" s="777"/>
      <c r="I122" s="1249"/>
      <c r="J122" s="1252">
        <v>5202</v>
      </c>
      <c r="K122" s="1253" t="s">
        <v>1282</v>
      </c>
      <c r="L122" s="621"/>
      <c r="M122" s="630">
        <f t="shared" si="22"/>
        <v>0</v>
      </c>
      <c r="N122" s="545"/>
      <c r="O122" s="546"/>
      <c r="P122" s="546"/>
      <c r="Q122" s="547"/>
      <c r="R122" s="1523">
        <f t="shared" si="15"/>
        <v>0</v>
      </c>
      <c r="S122" s="495"/>
    </row>
    <row r="123" spans="1:19" ht="18.75" customHeight="1">
      <c r="A123" s="29">
        <v>112</v>
      </c>
      <c r="H123" s="777"/>
      <c r="I123" s="1249"/>
      <c r="J123" s="1252">
        <v>5203</v>
      </c>
      <c r="K123" s="1253" t="s">
        <v>523</v>
      </c>
      <c r="L123" s="621"/>
      <c r="M123" s="630">
        <f t="shared" si="22"/>
        <v>0</v>
      </c>
      <c r="N123" s="545"/>
      <c r="O123" s="546"/>
      <c r="P123" s="546"/>
      <c r="Q123" s="547"/>
      <c r="R123" s="1523">
        <f t="shared" si="15"/>
        <v>0</v>
      </c>
      <c r="S123" s="495"/>
    </row>
    <row r="124" spans="1:19" ht="18.75" customHeight="1">
      <c r="A124" s="29">
        <v>113</v>
      </c>
      <c r="H124" s="777"/>
      <c r="I124" s="1249"/>
      <c r="J124" s="1252">
        <v>5204</v>
      </c>
      <c r="K124" s="1253" t="s">
        <v>524</v>
      </c>
      <c r="L124" s="621"/>
      <c r="M124" s="630">
        <f t="shared" si="22"/>
        <v>0</v>
      </c>
      <c r="N124" s="545"/>
      <c r="O124" s="546"/>
      <c r="P124" s="546"/>
      <c r="Q124" s="547"/>
      <c r="R124" s="1523">
        <f t="shared" si="15"/>
        <v>0</v>
      </c>
      <c r="S124" s="495"/>
    </row>
    <row r="125" spans="1:19" ht="18.75" customHeight="1">
      <c r="A125" s="29">
        <v>114</v>
      </c>
      <c r="H125" s="777"/>
      <c r="I125" s="1249"/>
      <c r="J125" s="1252">
        <v>5205</v>
      </c>
      <c r="K125" s="1253" t="s">
        <v>525</v>
      </c>
      <c r="L125" s="621"/>
      <c r="M125" s="630">
        <f t="shared" si="22"/>
        <v>0</v>
      </c>
      <c r="N125" s="545"/>
      <c r="O125" s="546"/>
      <c r="P125" s="546"/>
      <c r="Q125" s="547"/>
      <c r="R125" s="1523">
        <f t="shared" si="15"/>
        <v>0</v>
      </c>
      <c r="S125" s="495"/>
    </row>
    <row r="126" spans="1:19" ht="18.75" customHeight="1">
      <c r="A126" s="29">
        <v>115</v>
      </c>
      <c r="H126" s="777"/>
      <c r="I126" s="1249"/>
      <c r="J126" s="1252">
        <v>5206</v>
      </c>
      <c r="K126" s="1253" t="s">
        <v>526</v>
      </c>
      <c r="L126" s="621"/>
      <c r="M126" s="630">
        <f t="shared" si="22"/>
        <v>0</v>
      </c>
      <c r="N126" s="545"/>
      <c r="O126" s="546"/>
      <c r="P126" s="546"/>
      <c r="Q126" s="547"/>
      <c r="R126" s="1523">
        <f t="shared" si="15"/>
        <v>0</v>
      </c>
      <c r="S126" s="495"/>
    </row>
    <row r="127" spans="1:19" ht="18.75" customHeight="1">
      <c r="A127" s="29">
        <v>116</v>
      </c>
      <c r="H127" s="777"/>
      <c r="I127" s="1249"/>
      <c r="J127" s="1254">
        <v>5219</v>
      </c>
      <c r="K127" s="1255" t="s">
        <v>527</v>
      </c>
      <c r="L127" s="625"/>
      <c r="M127" s="629">
        <f t="shared" si="22"/>
        <v>0</v>
      </c>
      <c r="N127" s="554"/>
      <c r="O127" s="555"/>
      <c r="P127" s="555"/>
      <c r="Q127" s="556"/>
      <c r="R127" s="1523">
        <f t="shared" si="15"/>
        <v>0</v>
      </c>
      <c r="S127" s="495"/>
    </row>
    <row r="128" spans="1:19" ht="18.75" customHeight="1">
      <c r="A128" s="29">
        <v>117</v>
      </c>
      <c r="H128" s="777"/>
      <c r="I128" s="1248">
        <v>5300</v>
      </c>
      <c r="J128" s="2216" t="s">
        <v>528</v>
      </c>
      <c r="K128" s="2216"/>
      <c r="L128" s="463">
        <f aca="true" t="shared" si="23" ref="L128:Q128">SUM(L129:L130)</f>
        <v>0</v>
      </c>
      <c r="M128" s="464">
        <f t="shared" si="23"/>
        <v>0</v>
      </c>
      <c r="N128" s="575">
        <f t="shared" si="23"/>
        <v>0</v>
      </c>
      <c r="O128" s="576">
        <f t="shared" si="23"/>
        <v>0</v>
      </c>
      <c r="P128" s="576">
        <f t="shared" si="23"/>
        <v>0</v>
      </c>
      <c r="Q128" s="577">
        <f t="shared" si="23"/>
        <v>0</v>
      </c>
      <c r="R128" s="1523">
        <f t="shared" si="15"/>
        <v>0</v>
      </c>
      <c r="S128" s="495"/>
    </row>
    <row r="129" spans="1:19" ht="18.75" customHeight="1">
      <c r="A129" s="29">
        <v>118</v>
      </c>
      <c r="H129" s="777"/>
      <c r="I129" s="1249"/>
      <c r="J129" s="1250">
        <v>5301</v>
      </c>
      <c r="K129" s="1251" t="s">
        <v>1210</v>
      </c>
      <c r="L129" s="619"/>
      <c r="M129" s="628">
        <f>N129+O129+P129+Q129</f>
        <v>0</v>
      </c>
      <c r="N129" s="542"/>
      <c r="O129" s="543"/>
      <c r="P129" s="543"/>
      <c r="Q129" s="544"/>
      <c r="R129" s="1523">
        <f t="shared" si="15"/>
        <v>0</v>
      </c>
      <c r="S129" s="495"/>
    </row>
    <row r="130" spans="1:19" ht="18.75" customHeight="1">
      <c r="A130" s="29">
        <v>119</v>
      </c>
      <c r="H130" s="777"/>
      <c r="I130" s="1249"/>
      <c r="J130" s="1254">
        <v>5309</v>
      </c>
      <c r="K130" s="1255" t="s">
        <v>529</v>
      </c>
      <c r="L130" s="625"/>
      <c r="M130" s="629">
        <f>N130+O130+P130+Q130</f>
        <v>0</v>
      </c>
      <c r="N130" s="554"/>
      <c r="O130" s="555"/>
      <c r="P130" s="555"/>
      <c r="Q130" s="556"/>
      <c r="R130" s="1523">
        <f t="shared" si="15"/>
        <v>0</v>
      </c>
      <c r="S130" s="495"/>
    </row>
    <row r="131" spans="1:19" ht="18.75" customHeight="1">
      <c r="A131" s="29">
        <v>120</v>
      </c>
      <c r="H131" s="777"/>
      <c r="I131" s="1248">
        <v>5400</v>
      </c>
      <c r="J131" s="2216" t="s">
        <v>1296</v>
      </c>
      <c r="K131" s="2216"/>
      <c r="L131" s="1504"/>
      <c r="M131" s="464">
        <f>N131+O131+P131+Q131</f>
        <v>0</v>
      </c>
      <c r="N131" s="1308"/>
      <c r="O131" s="1309"/>
      <c r="P131" s="1309"/>
      <c r="Q131" s="1310"/>
      <c r="R131" s="1523">
        <f t="shared" si="15"/>
        <v>0</v>
      </c>
      <c r="S131" s="495"/>
    </row>
    <row r="132" spans="1:19" ht="18.75" customHeight="1">
      <c r="A132" s="29">
        <v>121</v>
      </c>
      <c r="H132" s="777"/>
      <c r="I132" s="1194">
        <v>5500</v>
      </c>
      <c r="J132" s="2217" t="s">
        <v>1297</v>
      </c>
      <c r="K132" s="2217"/>
      <c r="L132" s="463">
        <f aca="true" t="shared" si="24" ref="L132:Q132">SUM(L133:L136)</f>
        <v>0</v>
      </c>
      <c r="M132" s="464">
        <f t="shared" si="24"/>
        <v>0</v>
      </c>
      <c r="N132" s="575">
        <f t="shared" si="24"/>
        <v>0</v>
      </c>
      <c r="O132" s="576">
        <f t="shared" si="24"/>
        <v>0</v>
      </c>
      <c r="P132" s="576">
        <f t="shared" si="24"/>
        <v>0</v>
      </c>
      <c r="Q132" s="577">
        <f t="shared" si="24"/>
        <v>0</v>
      </c>
      <c r="R132" s="1523">
        <f t="shared" si="15"/>
        <v>0</v>
      </c>
      <c r="S132" s="495"/>
    </row>
    <row r="133" spans="1:19" ht="18.75" customHeight="1">
      <c r="A133" s="29">
        <v>122</v>
      </c>
      <c r="H133" s="777"/>
      <c r="I133" s="1245"/>
      <c r="J133" s="1196">
        <v>5501</v>
      </c>
      <c r="K133" s="1215" t="s">
        <v>1298</v>
      </c>
      <c r="L133" s="619"/>
      <c r="M133" s="628">
        <f>N133+O133+P133+Q133</f>
        <v>0</v>
      </c>
      <c r="N133" s="542"/>
      <c r="O133" s="543"/>
      <c r="P133" s="543"/>
      <c r="Q133" s="544"/>
      <c r="R133" s="1523">
        <f t="shared" si="15"/>
        <v>0</v>
      </c>
      <c r="S133" s="495"/>
    </row>
    <row r="134" spans="1:19" ht="18.75" customHeight="1">
      <c r="A134" s="29">
        <v>123</v>
      </c>
      <c r="H134" s="777"/>
      <c r="I134" s="1245"/>
      <c r="J134" s="1202">
        <v>5502</v>
      </c>
      <c r="K134" s="1203" t="s">
        <v>1299</v>
      </c>
      <c r="L134" s="621"/>
      <c r="M134" s="630">
        <f>N134+O134+P134+Q134</f>
        <v>0</v>
      </c>
      <c r="N134" s="545"/>
      <c r="O134" s="546"/>
      <c r="P134" s="546"/>
      <c r="Q134" s="547"/>
      <c r="R134" s="1523">
        <f t="shared" si="15"/>
        <v>0</v>
      </c>
      <c r="S134" s="495"/>
    </row>
    <row r="135" spans="1:19" ht="18.75" customHeight="1">
      <c r="A135" s="29">
        <v>124</v>
      </c>
      <c r="H135" s="777"/>
      <c r="I135" s="1245"/>
      <c r="J135" s="1202">
        <v>5503</v>
      </c>
      <c r="K135" s="1246" t="s">
        <v>1300</v>
      </c>
      <c r="L135" s="621"/>
      <c r="M135" s="630">
        <f>N135+O135+P135+Q135</f>
        <v>0</v>
      </c>
      <c r="N135" s="545"/>
      <c r="O135" s="546"/>
      <c r="P135" s="546"/>
      <c r="Q135" s="547"/>
      <c r="R135" s="1523">
        <f t="shared" si="15"/>
        <v>0</v>
      </c>
      <c r="S135" s="495"/>
    </row>
    <row r="136" spans="1:19" ht="18.75" customHeight="1">
      <c r="A136" s="29">
        <v>125</v>
      </c>
      <c r="H136" s="777"/>
      <c r="I136" s="1245"/>
      <c r="J136" s="1198">
        <v>5504</v>
      </c>
      <c r="K136" s="1226" t="s">
        <v>1301</v>
      </c>
      <c r="L136" s="625"/>
      <c r="M136" s="629">
        <f>N136+O136+P136+Q136</f>
        <v>0</v>
      </c>
      <c r="N136" s="554"/>
      <c r="O136" s="555"/>
      <c r="P136" s="555"/>
      <c r="Q136" s="556"/>
      <c r="R136" s="1523">
        <f t="shared" si="15"/>
        <v>0</v>
      </c>
      <c r="S136" s="495"/>
    </row>
    <row r="137" spans="1:19" ht="18.75" customHeight="1">
      <c r="A137" s="29">
        <v>126</v>
      </c>
      <c r="H137" s="777"/>
      <c r="I137" s="1248">
        <v>5700</v>
      </c>
      <c r="J137" s="2218" t="s">
        <v>1597</v>
      </c>
      <c r="K137" s="2219"/>
      <c r="L137" s="463">
        <f aca="true" t="shared" si="25" ref="L137:Q137">SUM(L138:L140)</f>
        <v>0</v>
      </c>
      <c r="M137" s="464">
        <f t="shared" si="25"/>
        <v>0</v>
      </c>
      <c r="N137" s="575">
        <f t="shared" si="25"/>
        <v>0</v>
      </c>
      <c r="O137" s="576">
        <f t="shared" si="25"/>
        <v>0</v>
      </c>
      <c r="P137" s="576">
        <f t="shared" si="25"/>
        <v>0</v>
      </c>
      <c r="Q137" s="577">
        <f t="shared" si="25"/>
        <v>0</v>
      </c>
      <c r="R137" s="1523">
        <f t="shared" si="15"/>
        <v>0</v>
      </c>
      <c r="S137" s="495"/>
    </row>
    <row r="138" spans="1:19" ht="18.75" customHeight="1">
      <c r="A138" s="29">
        <v>127</v>
      </c>
      <c r="H138" s="777"/>
      <c r="I138" s="1249"/>
      <c r="J138" s="1250">
        <v>5701</v>
      </c>
      <c r="K138" s="1251" t="s">
        <v>1303</v>
      </c>
      <c r="L138" s="619"/>
      <c r="M138" s="628">
        <f>N138+O138+P138+Q138</f>
        <v>0</v>
      </c>
      <c r="N138" s="542"/>
      <c r="O138" s="543"/>
      <c r="P138" s="543"/>
      <c r="Q138" s="544"/>
      <c r="R138" s="1523">
        <f t="shared" si="15"/>
        <v>0</v>
      </c>
      <c r="S138" s="495"/>
    </row>
    <row r="139" spans="1:19" ht="18.75" customHeight="1">
      <c r="A139" s="29">
        <v>128</v>
      </c>
      <c r="H139" s="777"/>
      <c r="I139" s="1249"/>
      <c r="J139" s="1256">
        <v>5702</v>
      </c>
      <c r="K139" s="1257" t="s">
        <v>1304</v>
      </c>
      <c r="L139" s="623"/>
      <c r="M139" s="631">
        <f>N139+O139+P139+Q139</f>
        <v>0</v>
      </c>
      <c r="N139" s="609"/>
      <c r="O139" s="610"/>
      <c r="P139" s="610"/>
      <c r="Q139" s="611"/>
      <c r="R139" s="1523">
        <f t="shared" si="15"/>
        <v>0</v>
      </c>
      <c r="S139" s="495"/>
    </row>
    <row r="140" spans="1:19" ht="18.75" customHeight="1">
      <c r="A140" s="29">
        <v>129</v>
      </c>
      <c r="H140" s="777"/>
      <c r="I140" s="1201"/>
      <c r="J140" s="1258">
        <v>4071</v>
      </c>
      <c r="K140" s="1259" t="s">
        <v>1305</v>
      </c>
      <c r="L140" s="1509"/>
      <c r="M140" s="641">
        <f>N140+O140+P140+Q140</f>
        <v>0</v>
      </c>
      <c r="N140" s="744"/>
      <c r="O140" s="1311"/>
      <c r="P140" s="1311"/>
      <c r="Q140" s="1312"/>
      <c r="R140" s="1523">
        <f t="shared" si="15"/>
        <v>0</v>
      </c>
      <c r="S140" s="495"/>
    </row>
    <row r="141" spans="1:19" ht="7.5" customHeight="1">
      <c r="A141" s="29">
        <v>130</v>
      </c>
      <c r="H141" s="777"/>
      <c r="I141" s="1260"/>
      <c r="J141" s="1261"/>
      <c r="K141" s="1262"/>
      <c r="L141" s="1524"/>
      <c r="M141" s="761"/>
      <c r="N141" s="761"/>
      <c r="O141" s="761"/>
      <c r="P141" s="761"/>
      <c r="Q141" s="762"/>
      <c r="R141" s="1523">
        <f t="shared" si="15"/>
      </c>
      <c r="S141" s="495"/>
    </row>
    <row r="142" spans="1:19" ht="18.75" customHeight="1">
      <c r="A142" s="29">
        <v>131</v>
      </c>
      <c r="H142" s="777"/>
      <c r="I142" s="1263">
        <v>98</v>
      </c>
      <c r="J142" s="2220" t="s">
        <v>1306</v>
      </c>
      <c r="K142" s="2221"/>
      <c r="L142" s="1510"/>
      <c r="M142" s="773">
        <f>N142+O142+P142+Q142</f>
        <v>0</v>
      </c>
      <c r="N142" s="766">
        <v>0</v>
      </c>
      <c r="O142" s="767">
        <v>0</v>
      </c>
      <c r="P142" s="767">
        <v>0</v>
      </c>
      <c r="Q142" s="768">
        <v>0</v>
      </c>
      <c r="R142" s="1523">
        <f t="shared" si="15"/>
        <v>0</v>
      </c>
      <c r="S142" s="495"/>
    </row>
    <row r="143" spans="1:19" ht="15.75" hidden="1">
      <c r="A143" s="29">
        <v>132</v>
      </c>
      <c r="H143" s="777"/>
      <c r="I143" s="1264"/>
      <c r="J143" s="1265"/>
      <c r="K143" s="1266"/>
      <c r="L143" s="383"/>
      <c r="M143" s="383"/>
      <c r="N143" s="383"/>
      <c r="O143" s="383"/>
      <c r="P143" s="383"/>
      <c r="Q143" s="384"/>
      <c r="R143" s="1523">
        <f t="shared" si="15"/>
      </c>
      <c r="S143" s="495"/>
    </row>
    <row r="144" spans="1:19" ht="15.75" hidden="1">
      <c r="A144" s="29">
        <v>133</v>
      </c>
      <c r="H144" s="777"/>
      <c r="I144" s="1267"/>
      <c r="J144" s="1121"/>
      <c r="K144" s="1262"/>
      <c r="L144" s="385"/>
      <c r="M144" s="385"/>
      <c r="N144" s="385"/>
      <c r="O144" s="385"/>
      <c r="P144" s="385"/>
      <c r="Q144" s="386"/>
      <c r="R144" s="1523">
        <f t="shared" si="15"/>
      </c>
      <c r="S144" s="495"/>
    </row>
    <row r="145" spans="1:19" ht="7.5" customHeight="1">
      <c r="A145" s="29">
        <v>134</v>
      </c>
      <c r="H145" s="777"/>
      <c r="I145" s="1268"/>
      <c r="J145" s="1269"/>
      <c r="K145" s="1262"/>
      <c r="L145" s="385"/>
      <c r="M145" s="385"/>
      <c r="N145" s="385"/>
      <c r="O145" s="385"/>
      <c r="P145" s="385"/>
      <c r="Q145" s="386"/>
      <c r="R145" s="1523">
        <f t="shared" si="15"/>
      </c>
      <c r="S145" s="495"/>
    </row>
    <row r="146" spans="1:20" ht="20.25" customHeight="1" thickBot="1">
      <c r="A146" s="29">
        <v>135</v>
      </c>
      <c r="H146" s="777"/>
      <c r="I146" s="1270"/>
      <c r="J146" s="1270" t="s">
        <v>754</v>
      </c>
      <c r="K146" s="1271">
        <f>+I146</f>
        <v>0</v>
      </c>
      <c r="L146" s="477">
        <f aca="true" t="shared" si="26" ref="L146:Q146">SUM(L30,L33,L39,L47,L48,L66,L70,L76,L79,L80,L81,L82,L83,L92,L99,L100,L101,L102,L109,L113,L114,L115,L116,L119,L120,L128,L131,L132,L137)+L142</f>
        <v>0</v>
      </c>
      <c r="M146" s="478">
        <f t="shared" si="26"/>
        <v>0</v>
      </c>
      <c r="N146" s="758">
        <f t="shared" si="26"/>
        <v>0</v>
      </c>
      <c r="O146" s="759">
        <f t="shared" si="26"/>
        <v>0</v>
      </c>
      <c r="P146" s="759">
        <f t="shared" si="26"/>
        <v>0</v>
      </c>
      <c r="Q146" s="760">
        <f t="shared" si="26"/>
        <v>0</v>
      </c>
      <c r="R146" s="1523">
        <f t="shared" si="15"/>
        <v>0</v>
      </c>
      <c r="S146" s="1517" t="str">
        <f>LEFT(J27,1)</f>
        <v>0</v>
      </c>
      <c r="T146" s="1518"/>
    </row>
    <row r="147" spans="1:19" ht="16.5" thickTop="1">
      <c r="A147" s="29">
        <v>136</v>
      </c>
      <c r="H147" s="777"/>
      <c r="I147" s="1272"/>
      <c r="J147" s="1273"/>
      <c r="K147" s="1124"/>
      <c r="L147" s="774"/>
      <c r="M147" s="774"/>
      <c r="N147" s="774"/>
      <c r="O147" s="774"/>
      <c r="P147" s="774"/>
      <c r="Q147" s="774"/>
      <c r="R147" s="4">
        <f>R146</f>
        <v>0</v>
      </c>
      <c r="S147" s="494"/>
    </row>
    <row r="148" spans="1:19" ht="15">
      <c r="A148" s="29">
        <v>137</v>
      </c>
      <c r="H148" s="777"/>
      <c r="I148" s="1183"/>
      <c r="J148" s="1274"/>
      <c r="K148" s="1275"/>
      <c r="L148" s="775"/>
      <c r="M148" s="775"/>
      <c r="N148" s="775"/>
      <c r="O148" s="775"/>
      <c r="P148" s="775"/>
      <c r="Q148" s="775"/>
      <c r="R148" s="4">
        <f>R146</f>
        <v>0</v>
      </c>
      <c r="S148" s="494"/>
    </row>
    <row r="149" spans="1:19" ht="15.75">
      <c r="A149" s="29">
        <v>138</v>
      </c>
      <c r="H149" s="777"/>
      <c r="I149" s="774"/>
      <c r="J149" s="1121"/>
      <c r="K149" s="1147"/>
      <c r="L149" s="775"/>
      <c r="M149" s="775"/>
      <c r="N149" s="775"/>
      <c r="O149" s="775"/>
      <c r="P149" s="775"/>
      <c r="Q149" s="775"/>
      <c r="R149" s="1903">
        <f>(IF(SUM(R160:R181)&lt;&gt;0,$K$2,""))</f>
      </c>
      <c r="S149" s="494"/>
    </row>
    <row r="150" spans="1:19" ht="15.75">
      <c r="A150" s="29">
        <v>139</v>
      </c>
      <c r="H150" s="777"/>
      <c r="I150" s="2208">
        <f>$B$7</f>
        <v>0</v>
      </c>
      <c r="J150" s="2209"/>
      <c r="K150" s="2209"/>
      <c r="L150" s="775"/>
      <c r="M150" s="775"/>
      <c r="N150" s="775"/>
      <c r="O150" s="775"/>
      <c r="P150" s="775"/>
      <c r="Q150" s="775"/>
      <c r="R150" s="1903">
        <f>(IF(SUM(R160:R181)&lt;&gt;0,$K$2,""))</f>
      </c>
      <c r="S150" s="494"/>
    </row>
    <row r="151" spans="1:19" ht="15.75">
      <c r="A151" s="29">
        <v>140</v>
      </c>
      <c r="H151" s="777"/>
      <c r="I151" s="774"/>
      <c r="J151" s="1121"/>
      <c r="K151" s="1147"/>
      <c r="L151" s="1148" t="s">
        <v>983</v>
      </c>
      <c r="M151" s="1148" t="s">
        <v>889</v>
      </c>
      <c r="N151" s="775"/>
      <c r="O151" s="775"/>
      <c r="P151" s="775"/>
      <c r="Q151" s="775"/>
      <c r="R151" s="1903">
        <f>(IF(SUM(R160:R181)&lt;&gt;0,$K$2,""))</f>
      </c>
      <c r="S151" s="494"/>
    </row>
    <row r="152" spans="1:19" ht="27" customHeight="1">
      <c r="A152" s="29">
        <v>141</v>
      </c>
      <c r="H152" s="777"/>
      <c r="I152" s="2210">
        <f>$B$9</f>
        <v>0</v>
      </c>
      <c r="J152" s="2211"/>
      <c r="K152" s="2212"/>
      <c r="L152" s="1066">
        <f>$E$9</f>
        <v>0</v>
      </c>
      <c r="M152" s="1152">
        <f>$F$9</f>
        <v>0</v>
      </c>
      <c r="N152" s="775"/>
      <c r="O152" s="775"/>
      <c r="P152" s="775"/>
      <c r="Q152" s="775"/>
      <c r="R152" s="1903">
        <f>(IF(SUM(R160:R181)&lt;&gt;0,$K$2,""))</f>
      </c>
      <c r="S152" s="494"/>
    </row>
    <row r="153" spans="1:19" ht="15.75">
      <c r="A153" s="29">
        <v>142</v>
      </c>
      <c r="H153" s="777"/>
      <c r="I153" s="1153">
        <f>$B$10</f>
        <v>0</v>
      </c>
      <c r="J153" s="774"/>
      <c r="K153" s="1124"/>
      <c r="L153" s="1154"/>
      <c r="M153" s="1154"/>
      <c r="N153" s="775"/>
      <c r="O153" s="775"/>
      <c r="P153" s="775"/>
      <c r="Q153" s="775"/>
      <c r="R153" s="1903">
        <f>(IF(SUM(R160:R181)&lt;&gt;0,$K$2,""))</f>
      </c>
      <c r="S153" s="494"/>
    </row>
    <row r="154" spans="1:19" ht="6" customHeight="1">
      <c r="A154" s="29">
        <v>143</v>
      </c>
      <c r="H154" s="777"/>
      <c r="I154" s="1153"/>
      <c r="J154" s="774"/>
      <c r="K154" s="1124"/>
      <c r="L154" s="1153"/>
      <c r="M154" s="774"/>
      <c r="N154" s="775"/>
      <c r="O154" s="775"/>
      <c r="P154" s="775"/>
      <c r="Q154" s="775"/>
      <c r="R154" s="1903">
        <f>(IF(SUM(R160:R181)&lt;&gt;0,$K$2,""))</f>
      </c>
      <c r="S154" s="494"/>
    </row>
    <row r="155" spans="1:19" ht="27" customHeight="1">
      <c r="A155" s="29">
        <v>144</v>
      </c>
      <c r="H155" s="777"/>
      <c r="I155" s="2213">
        <f>$B$12</f>
        <v>0</v>
      </c>
      <c r="J155" s="2214"/>
      <c r="K155" s="2215"/>
      <c r="L155" s="1155" t="s">
        <v>1249</v>
      </c>
      <c r="M155" s="1902">
        <f>$F$12</f>
        <v>0</v>
      </c>
      <c r="N155" s="775"/>
      <c r="O155" s="775"/>
      <c r="P155" s="775"/>
      <c r="Q155" s="775"/>
      <c r="R155" s="1903">
        <f>(IF(SUM(R160:R181)&lt;&gt;0,$K$2,""))</f>
      </c>
      <c r="S155" s="494"/>
    </row>
    <row r="156" spans="1:19" ht="15.75">
      <c r="A156" s="29">
        <v>145</v>
      </c>
      <c r="H156" s="777"/>
      <c r="I156" s="1157">
        <f>$B$13</f>
        <v>0</v>
      </c>
      <c r="J156" s="774"/>
      <c r="K156" s="1124"/>
      <c r="L156" s="1158"/>
      <c r="M156" s="1159"/>
      <c r="N156" s="775"/>
      <c r="O156" s="775"/>
      <c r="P156" s="775"/>
      <c r="Q156" s="775"/>
      <c r="R156" s="1903">
        <f>(IF(SUM(R160:R181)&lt;&gt;0,$K$2,""))</f>
      </c>
      <c r="S156" s="494"/>
    </row>
    <row r="157" spans="1:19" ht="21.75" customHeight="1">
      <c r="A157" s="29">
        <v>146</v>
      </c>
      <c r="H157" s="777"/>
      <c r="I157" s="1276"/>
      <c r="J157" s="1276"/>
      <c r="K157" s="1277" t="s">
        <v>1410</v>
      </c>
      <c r="L157" s="1278">
        <f>$E$15</f>
        <v>0</v>
      </c>
      <c r="M157" s="1279">
        <f>$F$15</f>
        <v>0</v>
      </c>
      <c r="N157" s="385"/>
      <c r="O157" s="385"/>
      <c r="P157" s="385"/>
      <c r="Q157" s="385"/>
      <c r="R157" s="1903">
        <f>(IF(SUM(R160:R181)&lt;&gt;0,$K$2,""))</f>
      </c>
      <c r="S157" s="494"/>
    </row>
    <row r="158" spans="1:19" ht="18.75" customHeight="1" thickBot="1">
      <c r="A158" s="29">
        <v>147</v>
      </c>
      <c r="H158" s="777"/>
      <c r="I158" s="1154"/>
      <c r="J158" s="1121"/>
      <c r="K158" s="1280" t="s">
        <v>2169</v>
      </c>
      <c r="L158" s="775"/>
      <c r="M158" s="1281" t="s">
        <v>986</v>
      </c>
      <c r="N158" s="1281"/>
      <c r="O158" s="385"/>
      <c r="P158" s="1281"/>
      <c r="Q158" s="385"/>
      <c r="R158" s="1903">
        <f>(IF(SUM(R160:R181)&lt;&gt;0,$K$2,""))</f>
      </c>
      <c r="S158" s="494"/>
    </row>
    <row r="159" spans="1:19" ht="21" customHeight="1">
      <c r="A159" s="29">
        <v>148</v>
      </c>
      <c r="H159" s="777"/>
      <c r="I159" s="1282" t="s">
        <v>1308</v>
      </c>
      <c r="J159" s="1283" t="s">
        <v>1309</v>
      </c>
      <c r="K159" s="1284" t="s">
        <v>1310</v>
      </c>
      <c r="L159" s="1285" t="s">
        <v>1311</v>
      </c>
      <c r="M159" s="1286" t="s">
        <v>1312</v>
      </c>
      <c r="N159" s="776"/>
      <c r="O159" s="776"/>
      <c r="P159" s="776"/>
      <c r="Q159" s="776"/>
      <c r="R159" s="1903">
        <f>(IF(SUM(R160:R181)&lt;&gt;0,$K$2,""))</f>
      </c>
      <c r="S159" s="494"/>
    </row>
    <row r="160" spans="1:19" ht="18.75" customHeight="1">
      <c r="A160" s="29">
        <v>149</v>
      </c>
      <c r="H160" s="777"/>
      <c r="I160" s="1287"/>
      <c r="J160" s="1288" t="s">
        <v>1313</v>
      </c>
      <c r="K160" s="1289" t="s">
        <v>1314</v>
      </c>
      <c r="L160" s="1313">
        <f>L161+L162</f>
        <v>0</v>
      </c>
      <c r="M160" s="1314">
        <f>M161+M162</f>
        <v>0</v>
      </c>
      <c r="N160" s="776"/>
      <c r="O160" s="776"/>
      <c r="P160" s="776"/>
      <c r="Q160" s="776"/>
      <c r="R160" s="212">
        <f aca="true" t="shared" si="27" ref="R160:R185">(IF($E160&lt;&gt;0,$K$2,IF($F160&lt;&gt;0,$K$2,"")))</f>
      </c>
      <c r="S160" s="494"/>
    </row>
    <row r="161" spans="1:19" ht="18.75" customHeight="1">
      <c r="A161" s="29">
        <v>150</v>
      </c>
      <c r="H161" s="777"/>
      <c r="I161" s="1290"/>
      <c r="J161" s="1291" t="s">
        <v>1315</v>
      </c>
      <c r="K161" s="1292" t="s">
        <v>1316</v>
      </c>
      <c r="L161" s="1315"/>
      <c r="M161" s="1316"/>
      <c r="N161" s="776"/>
      <c r="O161" s="776"/>
      <c r="P161" s="776"/>
      <c r="Q161" s="776"/>
      <c r="R161" s="212">
        <f t="shared" si="27"/>
      </c>
      <c r="S161" s="494"/>
    </row>
    <row r="162" spans="1:19" ht="18.75" customHeight="1">
      <c r="A162" s="29">
        <v>151</v>
      </c>
      <c r="H162" s="777"/>
      <c r="I162" s="1293"/>
      <c r="J162" s="1294" t="s">
        <v>1317</v>
      </c>
      <c r="K162" s="1295" t="s">
        <v>1318</v>
      </c>
      <c r="L162" s="1317"/>
      <c r="M162" s="1318"/>
      <c r="N162" s="776"/>
      <c r="O162" s="776"/>
      <c r="P162" s="776"/>
      <c r="Q162" s="776"/>
      <c r="R162" s="212">
        <f t="shared" si="27"/>
      </c>
      <c r="S162" s="494"/>
    </row>
    <row r="163" spans="1:19" ht="18.75" customHeight="1">
      <c r="A163" s="29">
        <v>152</v>
      </c>
      <c r="H163" s="777"/>
      <c r="I163" s="1287"/>
      <c r="J163" s="1288" t="s">
        <v>1319</v>
      </c>
      <c r="K163" s="1289" t="s">
        <v>1320</v>
      </c>
      <c r="L163" s="1319">
        <f>L164+L165</f>
        <v>0</v>
      </c>
      <c r="M163" s="1320">
        <f>M164+M165</f>
        <v>0</v>
      </c>
      <c r="N163" s="776"/>
      <c r="O163" s="776"/>
      <c r="P163" s="776"/>
      <c r="Q163" s="776"/>
      <c r="R163" s="212">
        <f t="shared" si="27"/>
      </c>
      <c r="S163" s="494"/>
    </row>
    <row r="164" spans="1:19" ht="18.75" customHeight="1">
      <c r="A164" s="29">
        <v>153</v>
      </c>
      <c r="H164" s="777"/>
      <c r="I164" s="1290"/>
      <c r="J164" s="1291" t="s">
        <v>1321</v>
      </c>
      <c r="K164" s="1292" t="s">
        <v>1316</v>
      </c>
      <c r="L164" s="1315"/>
      <c r="M164" s="1316"/>
      <c r="N164" s="776"/>
      <c r="O164" s="776"/>
      <c r="P164" s="776"/>
      <c r="Q164" s="776"/>
      <c r="R164" s="212">
        <f t="shared" si="27"/>
      </c>
      <c r="S164" s="494"/>
    </row>
    <row r="165" spans="1:19" ht="18.75" customHeight="1">
      <c r="A165" s="29">
        <v>154</v>
      </c>
      <c r="H165" s="777"/>
      <c r="I165" s="1296"/>
      <c r="J165" s="1297" t="s">
        <v>1322</v>
      </c>
      <c r="K165" s="1298" t="s">
        <v>1323</v>
      </c>
      <c r="L165" s="1321"/>
      <c r="M165" s="1322"/>
      <c r="N165" s="776"/>
      <c r="O165" s="776"/>
      <c r="P165" s="776"/>
      <c r="Q165" s="776"/>
      <c r="R165" s="212">
        <f t="shared" si="27"/>
      </c>
      <c r="S165" s="494"/>
    </row>
    <row r="166" spans="1:19" ht="18.75" customHeight="1">
      <c r="A166" s="29">
        <v>155</v>
      </c>
      <c r="H166" s="777"/>
      <c r="I166" s="1287"/>
      <c r="J166" s="1288" t="s">
        <v>1324</v>
      </c>
      <c r="K166" s="1289" t="s">
        <v>1325</v>
      </c>
      <c r="L166" s="1323"/>
      <c r="M166" s="1324"/>
      <c r="N166" s="776"/>
      <c r="O166" s="776"/>
      <c r="P166" s="776"/>
      <c r="Q166" s="776"/>
      <c r="R166" s="212">
        <f t="shared" si="27"/>
      </c>
      <c r="S166" s="494"/>
    </row>
    <row r="167" spans="1:19" ht="18.75" customHeight="1">
      <c r="A167" s="29">
        <v>156</v>
      </c>
      <c r="H167" s="777"/>
      <c r="I167" s="1290"/>
      <c r="J167" s="1299" t="s">
        <v>1326</v>
      </c>
      <c r="K167" s="1300" t="s">
        <v>1327</v>
      </c>
      <c r="L167" s="1325"/>
      <c r="M167" s="1326"/>
      <c r="N167" s="776"/>
      <c r="O167" s="776"/>
      <c r="P167" s="776"/>
      <c r="Q167" s="776"/>
      <c r="R167" s="212">
        <f t="shared" si="27"/>
      </c>
      <c r="S167" s="494"/>
    </row>
    <row r="168" spans="1:19" ht="18.75" customHeight="1">
      <c r="A168" s="29">
        <v>157</v>
      </c>
      <c r="H168" s="777"/>
      <c r="I168" s="1296"/>
      <c r="J168" s="1294" t="s">
        <v>1328</v>
      </c>
      <c r="K168" s="1295" t="s">
        <v>1329</v>
      </c>
      <c r="L168" s="1327"/>
      <c r="M168" s="1328"/>
      <c r="N168" s="776"/>
      <c r="O168" s="776"/>
      <c r="P168" s="776"/>
      <c r="Q168" s="776"/>
      <c r="R168" s="212">
        <f t="shared" si="27"/>
      </c>
      <c r="S168" s="494"/>
    </row>
    <row r="169" spans="1:19" ht="18.75" customHeight="1">
      <c r="A169" s="29">
        <v>158</v>
      </c>
      <c r="H169" s="777"/>
      <c r="I169" s="1287"/>
      <c r="J169" s="1288" t="s">
        <v>1330</v>
      </c>
      <c r="K169" s="1289" t="s">
        <v>1331</v>
      </c>
      <c r="L169" s="1319"/>
      <c r="M169" s="1320"/>
      <c r="N169" s="776"/>
      <c r="O169" s="776"/>
      <c r="P169" s="776"/>
      <c r="Q169" s="776"/>
      <c r="R169" s="212">
        <f t="shared" si="27"/>
      </c>
      <c r="S169" s="494"/>
    </row>
    <row r="170" spans="1:19" ht="18.75" customHeight="1">
      <c r="A170" s="29">
        <v>159</v>
      </c>
      <c r="H170" s="777"/>
      <c r="I170" s="1290"/>
      <c r="J170" s="1299" t="s">
        <v>1332</v>
      </c>
      <c r="K170" s="1300" t="s">
        <v>1333</v>
      </c>
      <c r="L170" s="1329"/>
      <c r="M170" s="1330"/>
      <c r="N170" s="776"/>
      <c r="O170" s="776"/>
      <c r="P170" s="776"/>
      <c r="Q170" s="776"/>
      <c r="R170" s="212">
        <f t="shared" si="27"/>
      </c>
      <c r="S170" s="494"/>
    </row>
    <row r="171" spans="1:19" ht="18.75" customHeight="1">
      <c r="A171" s="29">
        <v>160</v>
      </c>
      <c r="H171" s="777"/>
      <c r="I171" s="1296"/>
      <c r="J171" s="1294" t="s">
        <v>1334</v>
      </c>
      <c r="K171" s="1295" t="s">
        <v>1335</v>
      </c>
      <c r="L171" s="1317"/>
      <c r="M171" s="1318"/>
      <c r="N171" s="776"/>
      <c r="O171" s="776"/>
      <c r="P171" s="776"/>
      <c r="Q171" s="776"/>
      <c r="R171" s="212">
        <f t="shared" si="27"/>
      </c>
      <c r="S171" s="494"/>
    </row>
    <row r="172" spans="1:19" ht="18.75" customHeight="1">
      <c r="A172" s="29">
        <v>161</v>
      </c>
      <c r="H172" s="777"/>
      <c r="I172" s="1287"/>
      <c r="J172" s="1288" t="s">
        <v>1336</v>
      </c>
      <c r="K172" s="1289" t="s">
        <v>571</v>
      </c>
      <c r="L172" s="1319"/>
      <c r="M172" s="1320"/>
      <c r="N172" s="776"/>
      <c r="O172" s="776"/>
      <c r="P172" s="776"/>
      <c r="Q172" s="776"/>
      <c r="R172" s="212">
        <f t="shared" si="27"/>
      </c>
      <c r="S172" s="494"/>
    </row>
    <row r="173" spans="1:19" ht="18.75" customHeight="1">
      <c r="A173" s="29">
        <v>162</v>
      </c>
      <c r="H173" s="777"/>
      <c r="I173" s="1287"/>
      <c r="J173" s="1288" t="s">
        <v>572</v>
      </c>
      <c r="K173" s="1289" t="s">
        <v>1547</v>
      </c>
      <c r="L173" s="1331"/>
      <c r="M173" s="1332"/>
      <c r="N173" s="776"/>
      <c r="O173" s="776"/>
      <c r="P173" s="776"/>
      <c r="Q173" s="776"/>
      <c r="R173" s="212">
        <f t="shared" si="27"/>
      </c>
      <c r="S173" s="494"/>
    </row>
    <row r="174" spans="1:19" ht="18.75" customHeight="1">
      <c r="A174" s="29">
        <v>163</v>
      </c>
      <c r="H174" s="777"/>
      <c r="I174" s="1287"/>
      <c r="J174" s="1288" t="s">
        <v>573</v>
      </c>
      <c r="K174" s="1289" t="s">
        <v>1545</v>
      </c>
      <c r="L174" s="1319"/>
      <c r="M174" s="1320"/>
      <c r="N174" s="776"/>
      <c r="O174" s="776"/>
      <c r="P174" s="776"/>
      <c r="Q174" s="776"/>
      <c r="R174" s="212">
        <f t="shared" si="27"/>
      </c>
      <c r="S174" s="494"/>
    </row>
    <row r="175" spans="1:19" ht="18.75" customHeight="1">
      <c r="A175" s="29">
        <v>164</v>
      </c>
      <c r="H175" s="777"/>
      <c r="I175" s="1287"/>
      <c r="J175" s="1288" t="s">
        <v>574</v>
      </c>
      <c r="K175" s="1289" t="s">
        <v>1546</v>
      </c>
      <c r="L175" s="1319"/>
      <c r="M175" s="1320"/>
      <c r="N175" s="776"/>
      <c r="O175" s="776"/>
      <c r="P175" s="776"/>
      <c r="Q175" s="776"/>
      <c r="R175" s="212">
        <f t="shared" si="27"/>
      </c>
      <c r="S175" s="494"/>
    </row>
    <row r="176" spans="1:19" ht="18.75" customHeight="1">
      <c r="A176" s="29">
        <v>165</v>
      </c>
      <c r="H176" s="777"/>
      <c r="I176" s="1287"/>
      <c r="J176" s="1288" t="s">
        <v>575</v>
      </c>
      <c r="K176" s="1289" t="s">
        <v>576</v>
      </c>
      <c r="L176" s="1319"/>
      <c r="M176" s="1320"/>
      <c r="N176" s="776"/>
      <c r="O176" s="776"/>
      <c r="P176" s="776"/>
      <c r="Q176" s="776"/>
      <c r="R176" s="212">
        <f t="shared" si="27"/>
      </c>
      <c r="S176" s="494"/>
    </row>
    <row r="177" spans="1:19" ht="18.75" customHeight="1">
      <c r="A177" s="29">
        <v>166</v>
      </c>
      <c r="H177" s="777"/>
      <c r="I177" s="1287"/>
      <c r="J177" s="1288" t="s">
        <v>577</v>
      </c>
      <c r="K177" s="1289" t="s">
        <v>578</v>
      </c>
      <c r="L177" s="1319"/>
      <c r="M177" s="1320"/>
      <c r="N177" s="776"/>
      <c r="O177" s="776"/>
      <c r="P177" s="776"/>
      <c r="Q177" s="776"/>
      <c r="R177" s="212">
        <f t="shared" si="27"/>
      </c>
      <c r="S177" s="494"/>
    </row>
    <row r="178" spans="1:19" ht="18.75" customHeight="1">
      <c r="A178" s="29">
        <v>167</v>
      </c>
      <c r="H178" s="777"/>
      <c r="I178" s="1287"/>
      <c r="J178" s="1288" t="s">
        <v>579</v>
      </c>
      <c r="K178" s="1289" t="s">
        <v>580</v>
      </c>
      <c r="L178" s="1319"/>
      <c r="M178" s="1320"/>
      <c r="N178" s="776"/>
      <c r="O178" s="776"/>
      <c r="P178" s="776"/>
      <c r="Q178" s="776"/>
      <c r="R178" s="212">
        <f t="shared" si="27"/>
      </c>
      <c r="S178" s="494"/>
    </row>
    <row r="179" spans="1:19" ht="18.75" customHeight="1">
      <c r="A179" s="29">
        <v>168</v>
      </c>
      <c r="H179" s="777"/>
      <c r="I179" s="1287"/>
      <c r="J179" s="1288" t="s">
        <v>581</v>
      </c>
      <c r="K179" s="1289" t="s">
        <v>582</v>
      </c>
      <c r="L179" s="1319"/>
      <c r="M179" s="1320"/>
      <c r="N179" s="776"/>
      <c r="O179" s="776"/>
      <c r="P179" s="776"/>
      <c r="Q179" s="776"/>
      <c r="R179" s="212">
        <f t="shared" si="27"/>
      </c>
      <c r="S179" s="494"/>
    </row>
    <row r="180" spans="1:19" ht="18.75" customHeight="1">
      <c r="A180" s="29">
        <v>169</v>
      </c>
      <c r="H180" s="777"/>
      <c r="I180" s="1287"/>
      <c r="J180" s="1288" t="s">
        <v>583</v>
      </c>
      <c r="K180" s="1289" t="s">
        <v>584</v>
      </c>
      <c r="L180" s="1319"/>
      <c r="M180" s="1320"/>
      <c r="N180" s="776"/>
      <c r="O180" s="776"/>
      <c r="P180" s="776"/>
      <c r="Q180" s="776"/>
      <c r="R180" s="212">
        <f t="shared" si="27"/>
      </c>
      <c r="S180" s="494"/>
    </row>
    <row r="181" spans="1:19" ht="18.75" customHeight="1" thickBot="1">
      <c r="A181" s="29">
        <v>170</v>
      </c>
      <c r="H181" s="777"/>
      <c r="I181" s="1301"/>
      <c r="J181" s="1302" t="s">
        <v>585</v>
      </c>
      <c r="K181" s="1303" t="s">
        <v>586</v>
      </c>
      <c r="L181" s="1333"/>
      <c r="M181" s="1334"/>
      <c r="N181" s="776"/>
      <c r="O181" s="776"/>
      <c r="P181" s="776"/>
      <c r="Q181" s="776"/>
      <c r="R181" s="212">
        <f t="shared" si="27"/>
      </c>
      <c r="S181" s="494"/>
    </row>
    <row r="182" spans="1:19" ht="38.25" customHeight="1" thickTop="1">
      <c r="A182" s="29">
        <v>171</v>
      </c>
      <c r="H182" s="777"/>
      <c r="I182" s="1282" t="s">
        <v>1308</v>
      </c>
      <c r="J182" s="1283" t="s">
        <v>2162</v>
      </c>
      <c r="K182" s="1284" t="s">
        <v>2163</v>
      </c>
      <c r="L182" s="1285" t="s">
        <v>1311</v>
      </c>
      <c r="M182" s="1286" t="s">
        <v>1312</v>
      </c>
      <c r="N182" s="776"/>
      <c r="O182" s="776"/>
      <c r="P182" s="776"/>
      <c r="Q182" s="776"/>
      <c r="R182" s="212">
        <f>(IF($E183&lt;&gt;0,$K$2,IF($F183&lt;&gt;0,$K$2,"")))</f>
      </c>
      <c r="S182" s="494"/>
    </row>
    <row r="183" spans="1:19" ht="18.75" customHeight="1">
      <c r="A183" s="29">
        <v>172</v>
      </c>
      <c r="H183" s="777"/>
      <c r="I183" s="1287"/>
      <c r="J183" s="1288" t="s">
        <v>2165</v>
      </c>
      <c r="K183" s="1289" t="s">
        <v>2172</v>
      </c>
      <c r="L183" s="788">
        <f>L184+L185</f>
        <v>0</v>
      </c>
      <c r="M183" s="789">
        <f>M184+M185</f>
        <v>0</v>
      </c>
      <c r="N183" s="776"/>
      <c r="O183" s="776"/>
      <c r="P183" s="776"/>
      <c r="Q183" s="776"/>
      <c r="R183" s="212">
        <f t="shared" si="27"/>
      </c>
      <c r="S183" s="494"/>
    </row>
    <row r="184" spans="1:19" ht="18.75" customHeight="1">
      <c r="A184" s="29">
        <v>173</v>
      </c>
      <c r="H184" s="777"/>
      <c r="I184" s="1287"/>
      <c r="J184" s="2002" t="s">
        <v>2166</v>
      </c>
      <c r="K184" s="2004" t="s">
        <v>2170</v>
      </c>
      <c r="L184" s="1319"/>
      <c r="M184" s="1320"/>
      <c r="N184" s="776"/>
      <c r="O184" s="776"/>
      <c r="P184" s="776"/>
      <c r="Q184" s="776"/>
      <c r="R184" s="212">
        <f t="shared" si="27"/>
      </c>
      <c r="S184" s="494"/>
    </row>
    <row r="185" spans="1:19" ht="18.75" customHeight="1" thickBot="1">
      <c r="A185" s="29">
        <v>174</v>
      </c>
      <c r="H185" s="777"/>
      <c r="I185" s="1301"/>
      <c r="J185" s="2003" t="s">
        <v>2167</v>
      </c>
      <c r="K185" s="2005" t="s">
        <v>2171</v>
      </c>
      <c r="L185" s="1333"/>
      <c r="M185" s="1334"/>
      <c r="N185" s="776"/>
      <c r="O185" s="776"/>
      <c r="P185" s="776"/>
      <c r="Q185" s="776"/>
      <c r="R185" s="212">
        <f t="shared" si="27"/>
      </c>
      <c r="S185" s="494"/>
    </row>
    <row r="186" spans="1:19" ht="31.5" customHeight="1" thickTop="1">
      <c r="A186" s="29">
        <v>175</v>
      </c>
      <c r="H186" s="777"/>
      <c r="I186" s="1304" t="s">
        <v>887</v>
      </c>
      <c r="J186" s="1305"/>
      <c r="K186" s="1306"/>
      <c r="L186" s="776"/>
      <c r="M186" s="776"/>
      <c r="N186" s="776"/>
      <c r="O186" s="776"/>
      <c r="P186" s="776"/>
      <c r="Q186" s="776"/>
      <c r="R186" s="4">
        <f>R146</f>
        <v>0</v>
      </c>
      <c r="S186" s="494"/>
    </row>
    <row r="187" spans="1:19" ht="35.25" customHeight="1">
      <c r="A187" s="29">
        <v>176</v>
      </c>
      <c r="H187" s="777"/>
      <c r="I187" s="2248" t="s">
        <v>587</v>
      </c>
      <c r="J187" s="2248"/>
      <c r="K187" s="2248"/>
      <c r="L187" s="776"/>
      <c r="M187" s="776"/>
      <c r="N187" s="776"/>
      <c r="O187" s="776"/>
      <c r="P187" s="776"/>
      <c r="Q187" s="776"/>
      <c r="R187" s="4">
        <f>R146</f>
        <v>0</v>
      </c>
      <c r="S187" s="494"/>
    </row>
    <row r="188" spans="1:19" ht="18.75" customHeight="1">
      <c r="A188" s="29">
        <v>177</v>
      </c>
      <c r="I188" s="28"/>
      <c r="J188" s="28"/>
      <c r="K188" s="1307"/>
      <c r="L188" s="28"/>
      <c r="M188" s="28"/>
      <c r="N188" s="28"/>
      <c r="O188" s="28"/>
      <c r="P188" s="28"/>
      <c r="Q188" s="28"/>
      <c r="R188" s="4">
        <f>R146</f>
        <v>0</v>
      </c>
      <c r="S188" s="494"/>
    </row>
    <row r="189" spans="9:18" ht="51" customHeight="1">
      <c r="I189" s="211"/>
      <c r="J189" s="211"/>
      <c r="K189" s="211"/>
      <c r="L189" s="211"/>
      <c r="M189" s="211"/>
      <c r="N189" s="211"/>
      <c r="O189" s="211"/>
      <c r="P189" s="211"/>
      <c r="Q189" s="211"/>
      <c r="R189" s="41">
        <f>(IF(L146&lt;&gt;0,$G$2,IF(Q146&lt;&gt;0,$G$2,"")))</f>
      </c>
    </row>
    <row r="190" spans="9:18" ht="18.75">
      <c r="I190" s="211"/>
      <c r="J190" s="211"/>
      <c r="K190" s="425"/>
      <c r="L190" s="211"/>
      <c r="M190" s="211"/>
      <c r="N190" s="211"/>
      <c r="O190" s="211"/>
      <c r="P190" s="211"/>
      <c r="Q190" s="211"/>
      <c r="R190" s="41">
        <f>(IF(L147&lt;&gt;0,$G$2,IF(Q147&lt;&gt;0,$G$2,"")))</f>
      </c>
    </row>
    <row r="191" spans="9:18" ht="18.75">
      <c r="I191" s="211"/>
      <c r="J191" s="211"/>
      <c r="K191" s="211"/>
      <c r="L191" s="211"/>
      <c r="M191" s="211"/>
      <c r="N191" s="211"/>
      <c r="O191" s="211"/>
      <c r="P191" s="211"/>
      <c r="Q191" s="211"/>
      <c r="R191" s="41">
        <f>(IF(L146&lt;&gt;0,$G$2,IF(Q146&lt;&gt;0,$G$2,"")))</f>
      </c>
    </row>
    <row r="192" spans="9:18" ht="18.75">
      <c r="I192" s="211"/>
      <c r="J192" s="211"/>
      <c r="K192" s="211"/>
      <c r="L192" s="211"/>
      <c r="M192" s="211"/>
      <c r="N192" s="211"/>
      <c r="O192" s="211"/>
      <c r="P192" s="211"/>
      <c r="Q192" s="211"/>
      <c r="R192" s="41">
        <f>(IF(L146&lt;&gt;0,$G$2,IF(Q146&lt;&gt;0,$G$2,"")))</f>
      </c>
    </row>
    <row r="193" spans="9:18" ht="18.75" customHeight="1">
      <c r="I193" s="211"/>
      <c r="J193" s="211"/>
      <c r="K193" s="211"/>
      <c r="L193" s="211"/>
      <c r="M193" s="211"/>
      <c r="N193" s="211"/>
      <c r="O193" s="211"/>
      <c r="P193" s="211"/>
      <c r="Q193" s="211"/>
      <c r="R193" s="41">
        <f>(IF(L146&lt;&gt;0,$G$2,IF(Q146&lt;&gt;0,$G$2,"")))</f>
      </c>
    </row>
    <row r="194" spans="9:18" ht="18.75" customHeight="1">
      <c r="I194" s="211"/>
      <c r="J194" s="211"/>
      <c r="K194" s="211"/>
      <c r="L194" s="211"/>
      <c r="M194" s="211"/>
      <c r="N194" s="211"/>
      <c r="O194" s="211"/>
      <c r="P194" s="211"/>
      <c r="Q194" s="211"/>
      <c r="R194" s="41">
        <f>(IF(L146&lt;&gt;0,$G$2,IF(Q146&lt;&gt;0,$G$2,"")))</f>
      </c>
    </row>
    <row r="195" spans="9:18" ht="18.75">
      <c r="I195" s="211"/>
      <c r="J195" s="211"/>
      <c r="K195" s="211"/>
      <c r="L195" s="211"/>
      <c r="M195" s="211"/>
      <c r="N195" s="211"/>
      <c r="O195" s="211"/>
      <c r="P195" s="211"/>
      <c r="Q195" s="211"/>
      <c r="R195" s="41">
        <f>(IF(L146&lt;&gt;0,$G$2,IF(Q146&lt;&gt;0,$G$2,"")))</f>
      </c>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211"/>
      <c r="J280" s="211"/>
      <c r="K280" s="211"/>
      <c r="L280" s="211"/>
      <c r="M280" s="211"/>
      <c r="N280" s="211"/>
      <c r="O280" s="211"/>
      <c r="P280" s="211"/>
      <c r="Q280" s="211"/>
    </row>
    <row r="281" spans="9:17" ht="12.75">
      <c r="I281" s="211"/>
      <c r="J281" s="211"/>
      <c r="K281" s="211"/>
      <c r="L281" s="211"/>
      <c r="M281" s="211"/>
      <c r="N281" s="211"/>
      <c r="O281" s="211"/>
      <c r="P281" s="211"/>
      <c r="Q281" s="211"/>
    </row>
    <row r="282" spans="9:17" ht="12.75">
      <c r="I282" s="211"/>
      <c r="J282" s="211"/>
      <c r="K282" s="211"/>
      <c r="L282" s="211"/>
      <c r="M282" s="211"/>
      <c r="N282" s="211"/>
      <c r="O282" s="211"/>
      <c r="P282" s="211"/>
      <c r="Q282" s="211"/>
    </row>
    <row r="283" spans="9:17" ht="12.75">
      <c r="I283" s="211"/>
      <c r="J283" s="211"/>
      <c r="K283" s="211"/>
      <c r="L283" s="211"/>
      <c r="M283" s="211"/>
      <c r="N283" s="211"/>
      <c r="O283" s="211"/>
      <c r="P283" s="211"/>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spans="9:17" ht="12.75">
      <c r="I301" s="33"/>
      <c r="J301" s="33"/>
      <c r="K301" s="33"/>
      <c r="L301" s="33"/>
      <c r="M301" s="33"/>
      <c r="N301" s="33"/>
      <c r="O301" s="211"/>
      <c r="P301" s="33"/>
      <c r="Q301" s="211"/>
    </row>
    <row r="302" spans="9:17" ht="12.75">
      <c r="I302" s="33"/>
      <c r="J302" s="33"/>
      <c r="K302" s="33"/>
      <c r="L302" s="33"/>
      <c r="M302" s="33"/>
      <c r="N302" s="33"/>
      <c r="O302" s="211"/>
      <c r="P302" s="33"/>
      <c r="Q302" s="211"/>
    </row>
    <row r="303" spans="9:17" ht="12.75">
      <c r="I303" s="33"/>
      <c r="J303" s="33"/>
      <c r="K303" s="33"/>
      <c r="L303" s="33"/>
      <c r="M303" s="33"/>
      <c r="N303" s="33"/>
      <c r="O303" s="211"/>
      <c r="P303" s="33"/>
      <c r="Q303" s="211"/>
    </row>
    <row r="304" spans="9:17" ht="12.75">
      <c r="I304" s="33"/>
      <c r="J304" s="33"/>
      <c r="K304" s="33"/>
      <c r="L304" s="33"/>
      <c r="M304" s="33"/>
      <c r="N304" s="33"/>
      <c r="O304" s="211"/>
      <c r="P304" s="33"/>
      <c r="Q304" s="211"/>
    </row>
    <row r="305" ht="12.75">
      <c r="K305" s="33"/>
    </row>
  </sheetData>
  <sheetProtection password="81B0" sheet="1" scenarios="1"/>
  <mergeCells count="36">
    <mergeCell ref="J114:K114"/>
    <mergeCell ref="J79:K79"/>
    <mergeCell ref="J83:K83"/>
    <mergeCell ref="J80:K80"/>
    <mergeCell ref="J81:K81"/>
    <mergeCell ref="J82:K82"/>
    <mergeCell ref="J113:K113"/>
    <mergeCell ref="I187:K187"/>
    <mergeCell ref="J128:K128"/>
    <mergeCell ref="J131:K131"/>
    <mergeCell ref="J132:K132"/>
    <mergeCell ref="J137:K137"/>
    <mergeCell ref="J142:K142"/>
    <mergeCell ref="I150:K150"/>
    <mergeCell ref="I152:K152"/>
    <mergeCell ref="I155:K155"/>
    <mergeCell ref="J76:K76"/>
    <mergeCell ref="J120:K120"/>
    <mergeCell ref="J99:K99"/>
    <mergeCell ref="J100:K100"/>
    <mergeCell ref="J101:K101"/>
    <mergeCell ref="J115:K115"/>
    <mergeCell ref="J116:K116"/>
    <mergeCell ref="J102:K102"/>
    <mergeCell ref="J119:K119"/>
    <mergeCell ref="J109:K109"/>
    <mergeCell ref="I14:K14"/>
    <mergeCell ref="I16:K16"/>
    <mergeCell ref="I19:K19"/>
    <mergeCell ref="J70:K70"/>
    <mergeCell ref="J48:K48"/>
    <mergeCell ref="J66:K66"/>
    <mergeCell ref="J33:K33"/>
    <mergeCell ref="J39:K39"/>
    <mergeCell ref="J30:K30"/>
    <mergeCell ref="J47:K47"/>
  </mergeCells>
  <conditionalFormatting sqref="L157:M157">
    <cfRule type="cellIs" priority="36" dxfId="149" operator="equal" stopIfTrue="1">
      <formula>98</formula>
    </cfRule>
    <cfRule type="cellIs" priority="37" dxfId="150" operator="equal" stopIfTrue="1">
      <formula>96</formula>
    </cfRule>
    <cfRule type="cellIs" priority="38" dxfId="151" operator="equal" stopIfTrue="1">
      <formula>42</formula>
    </cfRule>
    <cfRule type="cellIs" priority="39" dxfId="152" operator="equal" stopIfTrue="1">
      <formula>97</formula>
    </cfRule>
    <cfRule type="cellIs" priority="40" dxfId="153" operator="equal" stopIfTrue="1">
      <formula>33</formula>
    </cfRule>
  </conditionalFormatting>
  <conditionalFormatting sqref="K146">
    <cfRule type="cellIs" priority="25" dxfId="164" operator="equal" stopIfTrue="1">
      <formula>0</formula>
    </cfRule>
  </conditionalFormatting>
  <conditionalFormatting sqref="M19">
    <cfRule type="cellIs" priority="24" dxfId="162" operator="equal" stopIfTrue="1">
      <formula>0</formula>
    </cfRule>
  </conditionalFormatting>
  <conditionalFormatting sqref="M155">
    <cfRule type="cellIs" priority="23" dxfId="162"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9" operator="equal" stopIfTrue="1">
      <formula>98</formula>
    </cfRule>
    <cfRule type="cellIs" priority="7" dxfId="150" operator="equal" stopIfTrue="1">
      <formula>96</formula>
    </cfRule>
    <cfRule type="cellIs" priority="8" dxfId="151" operator="equal" stopIfTrue="1">
      <formula>42</formula>
    </cfRule>
    <cfRule type="cellIs" priority="9" dxfId="152" operator="equal" stopIfTrue="1">
      <formula>97</formula>
    </cfRule>
    <cfRule type="cellIs" priority="10" dxfId="153" operator="equal" stopIfTrue="1">
      <formula>33</formula>
    </cfRule>
  </conditionalFormatting>
  <conditionalFormatting sqref="M21">
    <cfRule type="cellIs" priority="1" dxfId="153" operator="equal" stopIfTrue="1">
      <formula>"ЧУЖДИ СРЕДСТВА"</formula>
    </cfRule>
    <cfRule type="cellIs" priority="2" dxfId="152" operator="equal" stopIfTrue="1">
      <formula>"СЕС - ДМП"</formula>
    </cfRule>
    <cfRule type="cellIs" priority="3" dxfId="151" operator="equal" stopIfTrue="1">
      <formula>"СЕС - РА"</formula>
    </cfRule>
    <cfRule type="cellIs" priority="4" dxfId="150" operator="equal" stopIfTrue="1">
      <formula>"СЕС - ДЕС"</formula>
    </cfRule>
    <cfRule type="cellIs" priority="5" dxfId="149"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6"/>
  <sheetViews>
    <sheetView zoomScalePageLayoutView="0" workbookViewId="0" topLeftCell="E400">
      <selection activeCell="D400" sqref="A1:D16384"/>
    </sheetView>
  </sheetViews>
  <sheetFormatPr defaultColWidth="9.00390625" defaultRowHeight="12.75"/>
  <cols>
    <col min="1" max="1" width="48.125" style="214" hidden="1" customWidth="1"/>
    <col min="2" max="2" width="145.25390625" style="217" hidden="1" customWidth="1"/>
    <col min="3" max="4" width="48.125" style="214" hidden="1" customWidth="1"/>
    <col min="5" max="5" width="48.125" style="214" customWidth="1"/>
    <col min="6" max="16384" width="9.125" style="214" customWidth="1"/>
  </cols>
  <sheetData>
    <row r="1" spans="1:3" ht="14.25">
      <c r="A1" s="239" t="s">
        <v>1218</v>
      </c>
      <c r="B1" s="240" t="s">
        <v>1225</v>
      </c>
      <c r="C1" s="239"/>
    </row>
    <row r="2" spans="1:3" ht="31.5" customHeight="1">
      <c r="A2" s="285">
        <v>0</v>
      </c>
      <c r="B2" s="286" t="s">
        <v>1425</v>
      </c>
      <c r="C2" s="1531" t="s">
        <v>1485</v>
      </c>
    </row>
    <row r="3" spans="1:4" ht="35.25" customHeight="1">
      <c r="A3" s="285">
        <v>33</v>
      </c>
      <c r="B3" s="286" t="s">
        <v>1426</v>
      </c>
      <c r="C3" s="1532" t="s">
        <v>1486</v>
      </c>
      <c r="D3" s="215"/>
    </row>
    <row r="4" spans="1:3" ht="35.25" customHeight="1">
      <c r="A4" s="285">
        <v>42</v>
      </c>
      <c r="B4" s="286" t="s">
        <v>1427</v>
      </c>
      <c r="C4" s="1533" t="s">
        <v>1487</v>
      </c>
    </row>
    <row r="5" spans="1:3" ht="19.5">
      <c r="A5" s="285">
        <v>96</v>
      </c>
      <c r="B5" s="286" t="s">
        <v>1428</v>
      </c>
      <c r="C5" s="1533" t="s">
        <v>1488</v>
      </c>
    </row>
    <row r="6" spans="1:4" ht="19.5">
      <c r="A6" s="285">
        <v>97</v>
      </c>
      <c r="B6" s="286" t="s">
        <v>1429</v>
      </c>
      <c r="C6" s="1533" t="s">
        <v>1489</v>
      </c>
      <c r="D6" s="215"/>
    </row>
    <row r="7" spans="1:4" ht="19.5">
      <c r="A7" s="285">
        <v>98</v>
      </c>
      <c r="B7" s="286" t="s">
        <v>1430</v>
      </c>
      <c r="C7" s="1533" t="s">
        <v>1490</v>
      </c>
      <c r="D7" s="216"/>
    </row>
    <row r="8" spans="1:4" ht="15">
      <c r="A8" s="216"/>
      <c r="B8" s="216"/>
      <c r="C8" s="216"/>
      <c r="D8" s="216"/>
    </row>
    <row r="9" spans="1:4" ht="15">
      <c r="A9" s="215"/>
      <c r="B9" s="215"/>
      <c r="C9" s="213"/>
      <c r="D9" s="216"/>
    </row>
    <row r="10" spans="1:3" ht="14.25">
      <c r="A10" s="239" t="s">
        <v>1218</v>
      </c>
      <c r="B10" s="240" t="s">
        <v>1224</v>
      </c>
      <c r="C10" s="239"/>
    </row>
    <row r="11" spans="1:3" ht="14.25">
      <c r="A11" s="283"/>
      <c r="B11" s="284" t="s">
        <v>1591</v>
      </c>
      <c r="C11" s="283"/>
    </row>
    <row r="12" spans="1:5" ht="15.75">
      <c r="A12" s="1925">
        <v>1101</v>
      </c>
      <c r="B12" s="1911" t="s">
        <v>1592</v>
      </c>
      <c r="C12" s="1925">
        <v>1101</v>
      </c>
      <c r="E12" s="1958"/>
    </row>
    <row r="13" spans="1:5" ht="15.75">
      <c r="A13" s="1925">
        <v>1103</v>
      </c>
      <c r="B13" s="1912" t="s">
        <v>1593</v>
      </c>
      <c r="C13" s="1925">
        <v>1103</v>
      </c>
      <c r="E13" s="1958"/>
    </row>
    <row r="14" spans="1:5" ht="15.75">
      <c r="A14" s="1925">
        <v>1104</v>
      </c>
      <c r="B14" s="1913" t="s">
        <v>1594</v>
      </c>
      <c r="C14" s="1925">
        <v>1104</v>
      </c>
      <c r="E14" s="1958"/>
    </row>
    <row r="15" spans="1:5" ht="15.75">
      <c r="A15" s="1925">
        <v>1105</v>
      </c>
      <c r="B15" s="1913" t="s">
        <v>1595</v>
      </c>
      <c r="C15" s="1925">
        <v>1105</v>
      </c>
      <c r="E15" s="1958"/>
    </row>
    <row r="16" spans="1:5" ht="15.75">
      <c r="A16" s="1925">
        <v>1106</v>
      </c>
      <c r="B16" s="1913" t="s">
        <v>0</v>
      </c>
      <c r="C16" s="1925">
        <v>1106</v>
      </c>
      <c r="E16" s="1958"/>
    </row>
    <row r="17" spans="1:5" ht="15.75">
      <c r="A17" s="1925">
        <v>1107</v>
      </c>
      <c r="B17" s="1913" t="s">
        <v>1</v>
      </c>
      <c r="C17" s="1925">
        <v>1107</v>
      </c>
      <c r="E17" s="1958"/>
    </row>
    <row r="18" spans="1:5" ht="15.75">
      <c r="A18" s="1925">
        <v>1108</v>
      </c>
      <c r="B18" s="1913" t="s">
        <v>2</v>
      </c>
      <c r="C18" s="1925">
        <v>1108</v>
      </c>
      <c r="E18" s="1958"/>
    </row>
    <row r="19" spans="1:5" ht="15.75">
      <c r="A19" s="1925">
        <v>1111</v>
      </c>
      <c r="B19" s="1914" t="s">
        <v>3</v>
      </c>
      <c r="C19" s="1925">
        <v>1111</v>
      </c>
      <c r="E19" s="1958"/>
    </row>
    <row r="20" spans="1:5" ht="15.75">
      <c r="A20" s="1925">
        <v>1115</v>
      </c>
      <c r="B20" s="1914" t="s">
        <v>4</v>
      </c>
      <c r="C20" s="1925">
        <v>1115</v>
      </c>
      <c r="E20" s="1958"/>
    </row>
    <row r="21" spans="1:5" ht="15.75">
      <c r="A21" s="1925">
        <v>1116</v>
      </c>
      <c r="B21" s="1914" t="s">
        <v>5</v>
      </c>
      <c r="C21" s="1925">
        <v>1116</v>
      </c>
      <c r="E21" s="1958"/>
    </row>
    <row r="22" spans="1:5" ht="15.75">
      <c r="A22" s="1925">
        <v>1117</v>
      </c>
      <c r="B22" s="1914" t="s">
        <v>6</v>
      </c>
      <c r="C22" s="1925">
        <v>1117</v>
      </c>
      <c r="E22" s="1958"/>
    </row>
    <row r="23" spans="1:5" ht="15.75">
      <c r="A23" s="1925">
        <v>1121</v>
      </c>
      <c r="B23" s="1913" t="s">
        <v>7</v>
      </c>
      <c r="C23" s="1925">
        <v>1121</v>
      </c>
      <c r="E23" s="1958"/>
    </row>
    <row r="24" spans="1:5" ht="15.75">
      <c r="A24" s="1925">
        <v>1122</v>
      </c>
      <c r="B24" s="1913" t="s">
        <v>8</v>
      </c>
      <c r="C24" s="1925">
        <v>1122</v>
      </c>
      <c r="E24" s="1958"/>
    </row>
    <row r="25" spans="1:5" ht="15.75">
      <c r="A25" s="1925">
        <v>1123</v>
      </c>
      <c r="B25" s="1913" t="s">
        <v>9</v>
      </c>
      <c r="C25" s="1925">
        <v>1123</v>
      </c>
      <c r="E25" s="1958"/>
    </row>
    <row r="26" spans="1:5" ht="15.75">
      <c r="A26" s="1925">
        <v>1125</v>
      </c>
      <c r="B26" s="1915" t="s">
        <v>10</v>
      </c>
      <c r="C26" s="1925">
        <v>1125</v>
      </c>
      <c r="E26" s="1958"/>
    </row>
    <row r="27" spans="1:5" ht="15.75">
      <c r="A27" s="1925">
        <v>1128</v>
      </c>
      <c r="B27" s="1913" t="s">
        <v>11</v>
      </c>
      <c r="C27" s="1925">
        <v>1128</v>
      </c>
      <c r="E27" s="1958"/>
    </row>
    <row r="28" spans="1:5" ht="15.75">
      <c r="A28" s="1925">
        <v>1139</v>
      </c>
      <c r="B28" s="1916" t="s">
        <v>12</v>
      </c>
      <c r="C28" s="1925">
        <v>1139</v>
      </c>
      <c r="E28" s="1958"/>
    </row>
    <row r="29" spans="1:5" ht="15.75">
      <c r="A29" s="1925">
        <v>1141</v>
      </c>
      <c r="B29" s="1914" t="s">
        <v>13</v>
      </c>
      <c r="C29" s="1925">
        <v>1141</v>
      </c>
      <c r="E29" s="1958"/>
    </row>
    <row r="30" spans="1:5" ht="15.75">
      <c r="A30" s="1925">
        <v>1142</v>
      </c>
      <c r="B30" s="1913" t="s">
        <v>14</v>
      </c>
      <c r="C30" s="1925">
        <v>1142</v>
      </c>
      <c r="E30" s="1958"/>
    </row>
    <row r="31" spans="1:5" ht="15.75">
      <c r="A31" s="1925">
        <v>1143</v>
      </c>
      <c r="B31" s="1914" t="s">
        <v>15</v>
      </c>
      <c r="C31" s="1925">
        <v>1143</v>
      </c>
      <c r="E31" s="1958"/>
    </row>
    <row r="32" spans="1:5" ht="15.75">
      <c r="A32" s="1925">
        <v>1144</v>
      </c>
      <c r="B32" s="1914" t="s">
        <v>16</v>
      </c>
      <c r="C32" s="1925">
        <v>1144</v>
      </c>
      <c r="E32" s="1958"/>
    </row>
    <row r="33" spans="1:5" ht="15.75">
      <c r="A33" s="1925">
        <v>1145</v>
      </c>
      <c r="B33" s="1913" t="s">
        <v>17</v>
      </c>
      <c r="C33" s="1925">
        <v>1145</v>
      </c>
      <c r="E33" s="1958"/>
    </row>
    <row r="34" spans="1:5" ht="15.75">
      <c r="A34" s="1925">
        <v>1146</v>
      </c>
      <c r="B34" s="1914" t="s">
        <v>18</v>
      </c>
      <c r="C34" s="1925">
        <v>1146</v>
      </c>
      <c r="E34" s="1958"/>
    </row>
    <row r="35" spans="1:5" ht="15.75">
      <c r="A35" s="1925">
        <v>1147</v>
      </c>
      <c r="B35" s="1914" t="s">
        <v>19</v>
      </c>
      <c r="C35" s="1925">
        <v>1147</v>
      </c>
      <c r="E35" s="1958"/>
    </row>
    <row r="36" spans="1:5" ht="15.75">
      <c r="A36" s="1925">
        <v>1148</v>
      </c>
      <c r="B36" s="1914" t="s">
        <v>20</v>
      </c>
      <c r="C36" s="1925">
        <v>1148</v>
      </c>
      <c r="E36" s="1958"/>
    </row>
    <row r="37" spans="1:5" ht="15.75">
      <c r="A37" s="1925">
        <v>1149</v>
      </c>
      <c r="B37" s="1914" t="s">
        <v>21</v>
      </c>
      <c r="C37" s="1925">
        <v>1149</v>
      </c>
      <c r="E37" s="1958"/>
    </row>
    <row r="38" spans="1:5" ht="15.75">
      <c r="A38" s="1925">
        <v>1151</v>
      </c>
      <c r="B38" s="1914" t="s">
        <v>22</v>
      </c>
      <c r="C38" s="1925">
        <v>1151</v>
      </c>
      <c r="E38" s="1958"/>
    </row>
    <row r="39" spans="1:5" ht="15.75">
      <c r="A39" s="1925">
        <v>1158</v>
      </c>
      <c r="B39" s="1913" t="s">
        <v>23</v>
      </c>
      <c r="C39" s="1925">
        <v>1158</v>
      </c>
      <c r="E39" s="1958"/>
    </row>
    <row r="40" spans="1:5" ht="15.75">
      <c r="A40" s="1925">
        <v>1161</v>
      </c>
      <c r="B40" s="1913" t="s">
        <v>24</v>
      </c>
      <c r="C40" s="1925">
        <v>1161</v>
      </c>
      <c r="E40" s="1958"/>
    </row>
    <row r="41" spans="1:5" ht="15.75">
      <c r="A41" s="1925">
        <v>1162</v>
      </c>
      <c r="B41" s="1913" t="s">
        <v>25</v>
      </c>
      <c r="C41" s="1925">
        <v>1162</v>
      </c>
      <c r="E41" s="1958"/>
    </row>
    <row r="42" spans="1:5" ht="15.75">
      <c r="A42" s="1925">
        <v>1163</v>
      </c>
      <c r="B42" s="1913" t="s">
        <v>26</v>
      </c>
      <c r="C42" s="1925">
        <v>1163</v>
      </c>
      <c r="E42" s="1958"/>
    </row>
    <row r="43" spans="1:5" ht="15.75">
      <c r="A43" s="1925">
        <v>1168</v>
      </c>
      <c r="B43" s="1913" t="s">
        <v>27</v>
      </c>
      <c r="C43" s="1925">
        <v>1168</v>
      </c>
      <c r="E43" s="1958"/>
    </row>
    <row r="44" spans="1:5" ht="15.75">
      <c r="A44" s="1925">
        <v>1179</v>
      </c>
      <c r="B44" s="1914" t="s">
        <v>28</v>
      </c>
      <c r="C44" s="1925">
        <v>1179</v>
      </c>
      <c r="E44" s="1958"/>
    </row>
    <row r="45" spans="1:5" ht="15.75">
      <c r="A45" s="1925">
        <v>2201</v>
      </c>
      <c r="B45" s="1914" t="s">
        <v>29</v>
      </c>
      <c r="C45" s="1925">
        <v>2201</v>
      </c>
      <c r="E45" s="1958"/>
    </row>
    <row r="46" spans="1:5" ht="15.75">
      <c r="A46" s="1925">
        <v>2205</v>
      </c>
      <c r="B46" s="1913" t="s">
        <v>30</v>
      </c>
      <c r="C46" s="1925">
        <v>2205</v>
      </c>
      <c r="E46" s="1958"/>
    </row>
    <row r="47" spans="1:5" ht="15.75">
      <c r="A47" s="1925">
        <v>2206</v>
      </c>
      <c r="B47" s="1916" t="s">
        <v>31</v>
      </c>
      <c r="C47" s="1925">
        <v>2206</v>
      </c>
      <c r="E47" s="1958"/>
    </row>
    <row r="48" spans="1:5" ht="15.75">
      <c r="A48" s="1925">
        <v>2215</v>
      </c>
      <c r="B48" s="1913" t="s">
        <v>32</v>
      </c>
      <c r="C48" s="1925">
        <v>2215</v>
      </c>
      <c r="E48" s="1958"/>
    </row>
    <row r="49" spans="1:5" ht="15.75">
      <c r="A49" s="1925">
        <v>2218</v>
      </c>
      <c r="B49" s="1913" t="s">
        <v>33</v>
      </c>
      <c r="C49" s="1925">
        <v>2218</v>
      </c>
      <c r="E49" s="1958"/>
    </row>
    <row r="50" spans="1:5" ht="15.75">
      <c r="A50" s="1925">
        <v>2219</v>
      </c>
      <c r="B50" s="1913" t="s">
        <v>34</v>
      </c>
      <c r="C50" s="1925">
        <v>2219</v>
      </c>
      <c r="E50" s="1958"/>
    </row>
    <row r="51" spans="1:5" ht="15.75">
      <c r="A51" s="1925">
        <v>2221</v>
      </c>
      <c r="B51" s="1914" t="s">
        <v>35</v>
      </c>
      <c r="C51" s="1925">
        <v>2221</v>
      </c>
      <c r="E51" s="1958"/>
    </row>
    <row r="52" spans="1:5" ht="15.75">
      <c r="A52" s="1925">
        <v>2222</v>
      </c>
      <c r="B52" s="1917" t="s">
        <v>36</v>
      </c>
      <c r="C52" s="1925">
        <v>2222</v>
      </c>
      <c r="E52" s="1958"/>
    </row>
    <row r="53" spans="1:5" ht="15.75">
      <c r="A53" s="1925">
        <v>2223</v>
      </c>
      <c r="B53" s="1917" t="s">
        <v>2135</v>
      </c>
      <c r="C53" s="1925">
        <v>2223</v>
      </c>
      <c r="E53" s="1958"/>
    </row>
    <row r="54" spans="1:5" ht="15.75">
      <c r="A54" s="1925">
        <v>2224</v>
      </c>
      <c r="B54" s="1916" t="s">
        <v>37</v>
      </c>
      <c r="C54" s="1925">
        <v>2224</v>
      </c>
      <c r="E54" s="1958"/>
    </row>
    <row r="55" spans="1:5" ht="15.75">
      <c r="A55" s="1925">
        <v>2225</v>
      </c>
      <c r="B55" s="1913" t="s">
        <v>38</v>
      </c>
      <c r="C55" s="1925">
        <v>2225</v>
      </c>
      <c r="E55" s="1958"/>
    </row>
    <row r="56" spans="1:5" ht="15.75">
      <c r="A56" s="1925">
        <v>2228</v>
      </c>
      <c r="B56" s="1913" t="s">
        <v>39</v>
      </c>
      <c r="C56" s="1925">
        <v>2228</v>
      </c>
      <c r="E56" s="1958"/>
    </row>
    <row r="57" spans="1:5" ht="15.75">
      <c r="A57" s="1925">
        <v>2239</v>
      </c>
      <c r="B57" s="1914" t="s">
        <v>40</v>
      </c>
      <c r="C57" s="1925">
        <v>2239</v>
      </c>
      <c r="E57" s="1958"/>
    </row>
    <row r="58" spans="1:5" ht="15.75">
      <c r="A58" s="1925">
        <v>2241</v>
      </c>
      <c r="B58" s="1917" t="s">
        <v>41</v>
      </c>
      <c r="C58" s="1925">
        <v>2241</v>
      </c>
      <c r="E58" s="1958"/>
    </row>
    <row r="59" spans="1:5" ht="15.75">
      <c r="A59" s="1925">
        <v>2242</v>
      </c>
      <c r="B59" s="1917" t="s">
        <v>42</v>
      </c>
      <c r="C59" s="1925">
        <v>2242</v>
      </c>
      <c r="E59" s="1958"/>
    </row>
    <row r="60" spans="1:5" ht="15.75">
      <c r="A60" s="1925">
        <v>2243</v>
      </c>
      <c r="B60" s="1917" t="s">
        <v>43</v>
      </c>
      <c r="C60" s="1925">
        <v>2243</v>
      </c>
      <c r="E60" s="1958"/>
    </row>
    <row r="61" spans="1:5" ht="15.75">
      <c r="A61" s="1925">
        <v>2244</v>
      </c>
      <c r="B61" s="1917" t="s">
        <v>44</v>
      </c>
      <c r="C61" s="1925">
        <v>2244</v>
      </c>
      <c r="E61" s="1958"/>
    </row>
    <row r="62" spans="1:5" ht="15.75">
      <c r="A62" s="1925">
        <v>2245</v>
      </c>
      <c r="B62" s="1918" t="s">
        <v>45</v>
      </c>
      <c r="C62" s="1925">
        <v>2245</v>
      </c>
      <c r="E62" s="1958"/>
    </row>
    <row r="63" spans="1:5" ht="15.75">
      <c r="A63" s="1925">
        <v>2246</v>
      </c>
      <c r="B63" s="1917" t="s">
        <v>46</v>
      </c>
      <c r="C63" s="1925">
        <v>2246</v>
      </c>
      <c r="E63" s="1958"/>
    </row>
    <row r="64" spans="1:5" ht="15.75">
      <c r="A64" s="1925">
        <v>2247</v>
      </c>
      <c r="B64" s="1917" t="s">
        <v>47</v>
      </c>
      <c r="C64" s="1925">
        <v>2247</v>
      </c>
      <c r="E64" s="1958"/>
    </row>
    <row r="65" spans="1:5" ht="15.75">
      <c r="A65" s="1925">
        <v>2248</v>
      </c>
      <c r="B65" s="1917" t="s">
        <v>48</v>
      </c>
      <c r="C65" s="1925">
        <v>2248</v>
      </c>
      <c r="E65" s="1958"/>
    </row>
    <row r="66" spans="1:5" ht="15.75">
      <c r="A66" s="1925">
        <v>2249</v>
      </c>
      <c r="B66" s="1917" t="s">
        <v>49</v>
      </c>
      <c r="C66" s="1925">
        <v>2249</v>
      </c>
      <c r="E66" s="1958"/>
    </row>
    <row r="67" spans="1:5" ht="15.75">
      <c r="A67" s="1925">
        <v>2258</v>
      </c>
      <c r="B67" s="1913" t="s">
        <v>50</v>
      </c>
      <c r="C67" s="1925">
        <v>2258</v>
      </c>
      <c r="E67" s="1958"/>
    </row>
    <row r="68" spans="1:5" ht="15.75">
      <c r="A68" s="1925">
        <v>2259</v>
      </c>
      <c r="B68" s="1916" t="s">
        <v>51</v>
      </c>
      <c r="C68" s="1925">
        <v>2259</v>
      </c>
      <c r="E68" s="1958"/>
    </row>
    <row r="69" spans="1:5" ht="15.75">
      <c r="A69" s="1925">
        <v>2261</v>
      </c>
      <c r="B69" s="1914" t="s">
        <v>52</v>
      </c>
      <c r="C69" s="1925">
        <v>2261</v>
      </c>
      <c r="E69" s="1958"/>
    </row>
    <row r="70" spans="1:5" ht="15.75">
      <c r="A70" s="1925">
        <v>2268</v>
      </c>
      <c r="B70" s="1913" t="s">
        <v>53</v>
      </c>
      <c r="C70" s="1925">
        <v>2268</v>
      </c>
      <c r="E70" s="1958"/>
    </row>
    <row r="71" spans="1:5" ht="15.75">
      <c r="A71" s="1925">
        <v>2279</v>
      </c>
      <c r="B71" s="1914" t="s">
        <v>54</v>
      </c>
      <c r="C71" s="1925">
        <v>2279</v>
      </c>
      <c r="E71" s="1958"/>
    </row>
    <row r="72" spans="1:5" ht="15.75">
      <c r="A72" s="1925">
        <v>2281</v>
      </c>
      <c r="B72" s="1916" t="s">
        <v>55</v>
      </c>
      <c r="C72" s="1925">
        <v>2281</v>
      </c>
      <c r="E72" s="1958"/>
    </row>
    <row r="73" spans="1:5" ht="15.75">
      <c r="A73" s="1925">
        <v>2282</v>
      </c>
      <c r="B73" s="1916" t="s">
        <v>56</v>
      </c>
      <c r="C73" s="1925">
        <v>2282</v>
      </c>
      <c r="E73" s="1958"/>
    </row>
    <row r="74" spans="1:5" ht="15.75">
      <c r="A74" s="1925">
        <v>2283</v>
      </c>
      <c r="B74" s="1916" t="s">
        <v>57</v>
      </c>
      <c r="C74" s="1925">
        <v>2283</v>
      </c>
      <c r="E74" s="1958"/>
    </row>
    <row r="75" spans="1:5" ht="15.75">
      <c r="A75" s="1925">
        <v>2284</v>
      </c>
      <c r="B75" s="1916" t="s">
        <v>58</v>
      </c>
      <c r="C75" s="1925">
        <v>2284</v>
      </c>
      <c r="E75" s="1958"/>
    </row>
    <row r="76" spans="1:5" ht="15.75">
      <c r="A76" s="1925">
        <v>2285</v>
      </c>
      <c r="B76" s="1916" t="s">
        <v>59</v>
      </c>
      <c r="C76" s="1925">
        <v>2285</v>
      </c>
      <c r="E76" s="1958"/>
    </row>
    <row r="77" spans="1:5" ht="15.75">
      <c r="A77" s="1925">
        <v>2288</v>
      </c>
      <c r="B77" s="1916" t="s">
        <v>60</v>
      </c>
      <c r="C77" s="1925">
        <v>2288</v>
      </c>
      <c r="E77" s="1958"/>
    </row>
    <row r="78" spans="1:5" ht="15.75">
      <c r="A78" s="1925">
        <v>2289</v>
      </c>
      <c r="B78" s="1916" t="s">
        <v>61</v>
      </c>
      <c r="C78" s="1925">
        <v>2289</v>
      </c>
      <c r="E78" s="1958"/>
    </row>
    <row r="79" spans="1:5" ht="15.75">
      <c r="A79" s="1925">
        <v>3301</v>
      </c>
      <c r="B79" s="1913" t="s">
        <v>62</v>
      </c>
      <c r="C79" s="1925">
        <v>3301</v>
      </c>
      <c r="E79" s="1958"/>
    </row>
    <row r="80" spans="1:5" ht="15.75">
      <c r="A80" s="1925">
        <v>3311</v>
      </c>
      <c r="B80" s="1913" t="s">
        <v>2115</v>
      </c>
      <c r="C80" s="1925">
        <v>3311</v>
      </c>
      <c r="E80" s="1958"/>
    </row>
    <row r="81" spans="1:5" ht="15.75">
      <c r="A81" s="1925">
        <v>3312</v>
      </c>
      <c r="B81" s="1914" t="s">
        <v>2116</v>
      </c>
      <c r="C81" s="1925">
        <v>3312</v>
      </c>
      <c r="E81" s="1958"/>
    </row>
    <row r="82" spans="1:5" ht="15.75">
      <c r="A82" s="1925">
        <v>3318</v>
      </c>
      <c r="B82" s="1916" t="s">
        <v>63</v>
      </c>
      <c r="C82" s="1925">
        <v>3318</v>
      </c>
      <c r="E82" s="1958"/>
    </row>
    <row r="83" spans="1:5" ht="15.75">
      <c r="A83" s="1925">
        <v>3321</v>
      </c>
      <c r="B83" s="1913" t="s">
        <v>2117</v>
      </c>
      <c r="C83" s="1925">
        <v>3321</v>
      </c>
      <c r="E83" s="1958"/>
    </row>
    <row r="84" spans="1:5" ht="15.75">
      <c r="A84" s="1925">
        <v>3322</v>
      </c>
      <c r="B84" s="1914" t="s">
        <v>2118</v>
      </c>
      <c r="C84" s="1925">
        <v>3322</v>
      </c>
      <c r="E84" s="1958"/>
    </row>
    <row r="85" spans="1:5" ht="15.75">
      <c r="A85" s="1925">
        <v>3323</v>
      </c>
      <c r="B85" s="1916" t="s">
        <v>2119</v>
      </c>
      <c r="C85" s="1925">
        <v>3323</v>
      </c>
      <c r="E85" s="1958"/>
    </row>
    <row r="86" spans="1:5" ht="15.75">
      <c r="A86" s="1925">
        <v>3324</v>
      </c>
      <c r="B86" s="1916" t="s">
        <v>64</v>
      </c>
      <c r="C86" s="1925">
        <v>3324</v>
      </c>
      <c r="E86" s="1958"/>
    </row>
    <row r="87" spans="1:5" ht="15.75">
      <c r="A87" s="1925">
        <v>3325</v>
      </c>
      <c r="B87" s="1914" t="s">
        <v>2120</v>
      </c>
      <c r="C87" s="1925">
        <v>3325</v>
      </c>
      <c r="E87" s="1958"/>
    </row>
    <row r="88" spans="1:5" ht="15.75">
      <c r="A88" s="1925">
        <v>3326</v>
      </c>
      <c r="B88" s="1913" t="s">
        <v>2121</v>
      </c>
      <c r="C88" s="1925">
        <v>3326</v>
      </c>
      <c r="E88" s="1958"/>
    </row>
    <row r="89" spans="1:5" ht="15.75">
      <c r="A89" s="1925">
        <v>3327</v>
      </c>
      <c r="B89" s="1913" t="s">
        <v>2122</v>
      </c>
      <c r="C89" s="1925">
        <v>3327</v>
      </c>
      <c r="E89" s="1958"/>
    </row>
    <row r="90" spans="1:5" ht="15.75">
      <c r="A90" s="1925">
        <v>3332</v>
      </c>
      <c r="B90" s="1913" t="s">
        <v>65</v>
      </c>
      <c r="C90" s="1925">
        <v>3332</v>
      </c>
      <c r="E90" s="1958"/>
    </row>
    <row r="91" spans="1:5" ht="15.75">
      <c r="A91" s="1925">
        <v>3333</v>
      </c>
      <c r="B91" s="1914" t="s">
        <v>66</v>
      </c>
      <c r="C91" s="1925">
        <v>3333</v>
      </c>
      <c r="E91" s="1958"/>
    </row>
    <row r="92" spans="1:5" ht="15.75">
      <c r="A92" s="1925">
        <v>3334</v>
      </c>
      <c r="B92" s="1914" t="s">
        <v>2225</v>
      </c>
      <c r="C92" s="1925">
        <v>3334</v>
      </c>
      <c r="E92" s="1958"/>
    </row>
    <row r="93" spans="1:5" ht="15.75">
      <c r="A93" s="1925">
        <v>3336</v>
      </c>
      <c r="B93" s="1914" t="s">
        <v>2226</v>
      </c>
      <c r="C93" s="1925">
        <v>3336</v>
      </c>
      <c r="E93" s="1958"/>
    </row>
    <row r="94" spans="1:5" ht="15.75">
      <c r="A94" s="1925">
        <v>3337</v>
      </c>
      <c r="B94" s="1913" t="s">
        <v>2123</v>
      </c>
      <c r="C94" s="1925">
        <v>3337</v>
      </c>
      <c r="E94" s="1958"/>
    </row>
    <row r="95" spans="1:5" ht="15.75">
      <c r="A95" s="1925">
        <v>3338</v>
      </c>
      <c r="B95" s="1913" t="s">
        <v>2124</v>
      </c>
      <c r="C95" s="1925">
        <v>3338</v>
      </c>
      <c r="E95" s="1958"/>
    </row>
    <row r="96" spans="1:5" ht="15.75">
      <c r="A96" s="1925">
        <v>3341</v>
      </c>
      <c r="B96" s="1914" t="s">
        <v>2227</v>
      </c>
      <c r="C96" s="1925">
        <v>3341</v>
      </c>
      <c r="E96" s="1958"/>
    </row>
    <row r="97" spans="1:5" ht="15.75">
      <c r="A97" s="1925">
        <v>3349</v>
      </c>
      <c r="B97" s="1914" t="s">
        <v>67</v>
      </c>
      <c r="C97" s="1925">
        <v>3349</v>
      </c>
      <c r="E97" s="1958"/>
    </row>
    <row r="98" spans="1:5" ht="15.75">
      <c r="A98" s="1925">
        <v>3359</v>
      </c>
      <c r="B98" s="1914" t="s">
        <v>68</v>
      </c>
      <c r="C98" s="1925">
        <v>3359</v>
      </c>
      <c r="E98" s="1958"/>
    </row>
    <row r="99" spans="1:5" ht="15.75">
      <c r="A99" s="1925">
        <v>3369</v>
      </c>
      <c r="B99" s="1914" t="s">
        <v>69</v>
      </c>
      <c r="C99" s="1925">
        <v>3369</v>
      </c>
      <c r="E99" s="1958"/>
    </row>
    <row r="100" spans="1:5" ht="15.75">
      <c r="A100" s="1925">
        <v>3388</v>
      </c>
      <c r="B100" s="1913" t="s">
        <v>70</v>
      </c>
      <c r="C100" s="1925">
        <v>3388</v>
      </c>
      <c r="E100" s="1958"/>
    </row>
    <row r="101" spans="1:5" ht="15.75">
      <c r="A101" s="1925">
        <v>3389</v>
      </c>
      <c r="B101" s="1914" t="s">
        <v>71</v>
      </c>
      <c r="C101" s="1925">
        <v>3389</v>
      </c>
      <c r="E101" s="1958"/>
    </row>
    <row r="102" spans="1:5" ht="15.75">
      <c r="A102" s="1925">
        <v>4401</v>
      </c>
      <c r="B102" s="1913" t="s">
        <v>72</v>
      </c>
      <c r="C102" s="1925">
        <v>4401</v>
      </c>
      <c r="E102" s="1958"/>
    </row>
    <row r="103" spans="1:5" ht="15.75">
      <c r="A103" s="1925">
        <v>4412</v>
      </c>
      <c r="B103" s="1916" t="s">
        <v>73</v>
      </c>
      <c r="C103" s="1925">
        <v>4412</v>
      </c>
      <c r="E103" s="1958"/>
    </row>
    <row r="104" spans="1:5" ht="15.75">
      <c r="A104" s="1925">
        <v>4415</v>
      </c>
      <c r="B104" s="1914" t="s">
        <v>74</v>
      </c>
      <c r="C104" s="1925">
        <v>4415</v>
      </c>
      <c r="E104" s="1958"/>
    </row>
    <row r="105" spans="1:5" ht="15.75">
      <c r="A105" s="1925">
        <v>4418</v>
      </c>
      <c r="B105" s="1914" t="s">
        <v>75</v>
      </c>
      <c r="C105" s="1925">
        <v>4418</v>
      </c>
      <c r="E105" s="1958"/>
    </row>
    <row r="106" spans="1:5" ht="15.75">
      <c r="A106" s="1925">
        <v>4429</v>
      </c>
      <c r="B106" s="1913" t="s">
        <v>76</v>
      </c>
      <c r="C106" s="1925">
        <v>4429</v>
      </c>
      <c r="E106" s="1958"/>
    </row>
    <row r="107" spans="1:5" ht="15.75">
      <c r="A107" s="1925">
        <v>4431</v>
      </c>
      <c r="B107" s="1914" t="s">
        <v>2125</v>
      </c>
      <c r="C107" s="1925">
        <v>4431</v>
      </c>
      <c r="E107" s="1958"/>
    </row>
    <row r="108" spans="1:5" ht="15.75">
      <c r="A108" s="1925">
        <v>4433</v>
      </c>
      <c r="B108" s="1914" t="s">
        <v>77</v>
      </c>
      <c r="C108" s="1925">
        <v>4433</v>
      </c>
      <c r="E108" s="1958"/>
    </row>
    <row r="109" spans="1:5" ht="15.75">
      <c r="A109" s="1925">
        <v>4436</v>
      </c>
      <c r="B109" s="1914" t="s">
        <v>78</v>
      </c>
      <c r="C109" s="1925">
        <v>4436</v>
      </c>
      <c r="E109" s="1958"/>
    </row>
    <row r="110" spans="1:5" ht="15.75">
      <c r="A110" s="1925">
        <v>4437</v>
      </c>
      <c r="B110" s="1915" t="s">
        <v>79</v>
      </c>
      <c r="C110" s="1925">
        <v>4437</v>
      </c>
      <c r="E110" s="1958"/>
    </row>
    <row r="111" spans="1:5" ht="15.75">
      <c r="A111" s="1925">
        <v>4450</v>
      </c>
      <c r="B111" s="1914" t="s">
        <v>80</v>
      </c>
      <c r="C111" s="1925">
        <v>4450</v>
      </c>
      <c r="E111" s="1958"/>
    </row>
    <row r="112" spans="1:5" ht="15.75">
      <c r="A112" s="1925">
        <v>4451</v>
      </c>
      <c r="B112" s="1919" t="s">
        <v>81</v>
      </c>
      <c r="C112" s="1925">
        <v>4451</v>
      </c>
      <c r="E112" s="1958"/>
    </row>
    <row r="113" spans="1:5" ht="15.75">
      <c r="A113" s="1925">
        <v>4452</v>
      </c>
      <c r="B113" s="1919" t="s">
        <v>82</v>
      </c>
      <c r="C113" s="1925">
        <v>4452</v>
      </c>
      <c r="E113" s="1958"/>
    </row>
    <row r="114" spans="1:5" ht="15.75">
      <c r="A114" s="1925">
        <v>4453</v>
      </c>
      <c r="B114" s="1919" t="s">
        <v>83</v>
      </c>
      <c r="C114" s="1925">
        <v>4453</v>
      </c>
      <c r="E114" s="1958"/>
    </row>
    <row r="115" spans="1:5" ht="15.75">
      <c r="A115" s="1925">
        <v>4454</v>
      </c>
      <c r="B115" s="1920" t="s">
        <v>84</v>
      </c>
      <c r="C115" s="1925">
        <v>4454</v>
      </c>
      <c r="E115" s="1958"/>
    </row>
    <row r="116" spans="1:5" ht="15.75">
      <c r="A116" s="1925">
        <v>4455</v>
      </c>
      <c r="B116" s="1920" t="s">
        <v>2126</v>
      </c>
      <c r="C116" s="1925">
        <v>4455</v>
      </c>
      <c r="E116" s="1958"/>
    </row>
    <row r="117" spans="1:5" ht="15.75">
      <c r="A117" s="1925">
        <v>4456</v>
      </c>
      <c r="B117" s="1919" t="s">
        <v>85</v>
      </c>
      <c r="C117" s="1925">
        <v>4456</v>
      </c>
      <c r="E117" s="1958"/>
    </row>
    <row r="118" spans="1:5" ht="15.75">
      <c r="A118" s="1925">
        <v>4457</v>
      </c>
      <c r="B118" s="1921" t="s">
        <v>2127</v>
      </c>
      <c r="C118" s="1925">
        <v>4457</v>
      </c>
      <c r="E118" s="1958"/>
    </row>
    <row r="119" spans="1:5" ht="15.75">
      <c r="A119" s="1925">
        <v>4458</v>
      </c>
      <c r="B119" s="1921" t="s">
        <v>2128</v>
      </c>
      <c r="C119" s="1925">
        <v>4458</v>
      </c>
      <c r="E119" s="1958"/>
    </row>
    <row r="120" spans="1:5" ht="15.75">
      <c r="A120" s="1925">
        <v>4459</v>
      </c>
      <c r="B120" s="1921" t="s">
        <v>147</v>
      </c>
      <c r="C120" s="1925">
        <v>4459</v>
      </c>
      <c r="E120" s="1958"/>
    </row>
    <row r="121" spans="1:5" ht="15.75">
      <c r="A121" s="1925">
        <v>4465</v>
      </c>
      <c r="B121" s="1911" t="s">
        <v>86</v>
      </c>
      <c r="C121" s="1925">
        <v>4465</v>
      </c>
      <c r="E121" s="1958"/>
    </row>
    <row r="122" spans="1:5" ht="15.75">
      <c r="A122" s="1925">
        <v>4467</v>
      </c>
      <c r="B122" s="1912" t="s">
        <v>87</v>
      </c>
      <c r="C122" s="1925">
        <v>4467</v>
      </c>
      <c r="E122" s="1958"/>
    </row>
    <row r="123" spans="1:5" ht="15.75">
      <c r="A123" s="1925">
        <v>4468</v>
      </c>
      <c r="B123" s="1913" t="s">
        <v>88</v>
      </c>
      <c r="C123" s="1925">
        <v>4468</v>
      </c>
      <c r="E123" s="1958"/>
    </row>
    <row r="124" spans="1:5" ht="15.75">
      <c r="A124" s="1925">
        <v>4469</v>
      </c>
      <c r="B124" s="1914" t="s">
        <v>89</v>
      </c>
      <c r="C124" s="1925">
        <v>4469</v>
      </c>
      <c r="E124" s="1958"/>
    </row>
    <row r="125" spans="1:5" ht="15.75">
      <c r="A125" s="1925">
        <v>5501</v>
      </c>
      <c r="B125" s="1913" t="s">
        <v>90</v>
      </c>
      <c r="C125" s="1925">
        <v>5501</v>
      </c>
      <c r="E125" s="1958"/>
    </row>
    <row r="126" spans="1:5" ht="15.75">
      <c r="A126" s="1925">
        <v>5511</v>
      </c>
      <c r="B126" s="1918" t="s">
        <v>91</v>
      </c>
      <c r="C126" s="1925">
        <v>5511</v>
      </c>
      <c r="E126" s="1958"/>
    </row>
    <row r="127" spans="1:5" ht="15.75">
      <c r="A127" s="1925">
        <v>5512</v>
      </c>
      <c r="B127" s="1913" t="s">
        <v>92</v>
      </c>
      <c r="C127" s="1925">
        <v>5512</v>
      </c>
      <c r="E127" s="1958"/>
    </row>
    <row r="128" spans="1:5" ht="15.75">
      <c r="A128" s="1925">
        <v>5513</v>
      </c>
      <c r="B128" s="1921" t="s">
        <v>782</v>
      </c>
      <c r="C128" s="1925">
        <v>5513</v>
      </c>
      <c r="E128" s="1958"/>
    </row>
    <row r="129" spans="1:5" ht="15.75">
      <c r="A129" s="1925">
        <v>5514</v>
      </c>
      <c r="B129" s="1921" t="s">
        <v>783</v>
      </c>
      <c r="C129" s="1925">
        <v>5514</v>
      </c>
      <c r="E129" s="1958"/>
    </row>
    <row r="130" spans="1:5" ht="15.75">
      <c r="A130" s="1925">
        <v>5515</v>
      </c>
      <c r="B130" s="1921" t="s">
        <v>784</v>
      </c>
      <c r="C130" s="1925">
        <v>5515</v>
      </c>
      <c r="E130" s="1958"/>
    </row>
    <row r="131" spans="1:5" ht="15.75">
      <c r="A131" s="1925">
        <v>5516</v>
      </c>
      <c r="B131" s="1921" t="s">
        <v>785</v>
      </c>
      <c r="C131" s="1925">
        <v>5516</v>
      </c>
      <c r="E131" s="1958"/>
    </row>
    <row r="132" spans="1:5" ht="15.75">
      <c r="A132" s="1925">
        <v>5517</v>
      </c>
      <c r="B132" s="1921" t="s">
        <v>786</v>
      </c>
      <c r="C132" s="1925">
        <v>5517</v>
      </c>
      <c r="E132" s="1958"/>
    </row>
    <row r="133" spans="1:5" ht="15.75">
      <c r="A133" s="1925">
        <v>5518</v>
      </c>
      <c r="B133" s="1913" t="s">
        <v>787</v>
      </c>
      <c r="C133" s="1925">
        <v>5518</v>
      </c>
      <c r="E133" s="1958"/>
    </row>
    <row r="134" spans="1:5" ht="15.75">
      <c r="A134" s="1925">
        <v>5519</v>
      </c>
      <c r="B134" s="1913" t="s">
        <v>788</v>
      </c>
      <c r="C134" s="1925">
        <v>5519</v>
      </c>
      <c r="E134" s="1958"/>
    </row>
    <row r="135" spans="1:5" ht="15.75">
      <c r="A135" s="1925">
        <v>5521</v>
      </c>
      <c r="B135" s="1913" t="s">
        <v>789</v>
      </c>
      <c r="C135" s="1925">
        <v>5521</v>
      </c>
      <c r="E135" s="1958"/>
    </row>
    <row r="136" spans="1:5" ht="15.75">
      <c r="A136" s="1925">
        <v>5522</v>
      </c>
      <c r="B136" s="1922" t="s">
        <v>790</v>
      </c>
      <c r="C136" s="1925">
        <v>5522</v>
      </c>
      <c r="E136" s="1958"/>
    </row>
    <row r="137" spans="1:5" ht="15.75">
      <c r="A137" s="1925">
        <v>5524</v>
      </c>
      <c r="B137" s="1911" t="s">
        <v>791</v>
      </c>
      <c r="C137" s="1925">
        <v>5524</v>
      </c>
      <c r="E137" s="1958"/>
    </row>
    <row r="138" spans="1:5" ht="15.75">
      <c r="A138" s="1925">
        <v>5525</v>
      </c>
      <c r="B138" s="1918" t="s">
        <v>792</v>
      </c>
      <c r="C138" s="1925">
        <v>5525</v>
      </c>
      <c r="E138" s="1958"/>
    </row>
    <row r="139" spans="1:5" ht="15.75">
      <c r="A139" s="1925">
        <v>5526</v>
      </c>
      <c r="B139" s="1915" t="s">
        <v>793</v>
      </c>
      <c r="C139" s="1925">
        <v>5526</v>
      </c>
      <c r="E139" s="1958"/>
    </row>
    <row r="140" spans="1:5" ht="15.75">
      <c r="A140" s="1925">
        <v>5527</v>
      </c>
      <c r="B140" s="1915" t="s">
        <v>794</v>
      </c>
      <c r="C140" s="1925">
        <v>5527</v>
      </c>
      <c r="E140" s="1958"/>
    </row>
    <row r="141" spans="1:5" ht="15.75">
      <c r="A141" s="1925">
        <v>5528</v>
      </c>
      <c r="B141" s="1915" t="s">
        <v>795</v>
      </c>
      <c r="C141" s="1925">
        <v>5528</v>
      </c>
      <c r="E141" s="1958"/>
    </row>
    <row r="142" spans="1:5" ht="15.75">
      <c r="A142" s="1925">
        <v>5529</v>
      </c>
      <c r="B142" s="1915" t="s">
        <v>796</v>
      </c>
      <c r="C142" s="1925">
        <v>5529</v>
      </c>
      <c r="E142" s="1958"/>
    </row>
    <row r="143" spans="1:5" ht="15.75">
      <c r="A143" s="1925">
        <v>5530</v>
      </c>
      <c r="B143" s="1915" t="s">
        <v>797</v>
      </c>
      <c r="C143" s="1925">
        <v>5530</v>
      </c>
      <c r="E143" s="1958"/>
    </row>
    <row r="144" spans="1:5" ht="15.75">
      <c r="A144" s="1925">
        <v>5531</v>
      </c>
      <c r="B144" s="1918" t="s">
        <v>798</v>
      </c>
      <c r="C144" s="1925">
        <v>5531</v>
      </c>
      <c r="E144" s="1958"/>
    </row>
    <row r="145" spans="1:5" ht="15.75">
      <c r="A145" s="1925">
        <v>5532</v>
      </c>
      <c r="B145" s="1922" t="s">
        <v>799</v>
      </c>
      <c r="C145" s="1925">
        <v>5532</v>
      </c>
      <c r="E145" s="1958"/>
    </row>
    <row r="146" spans="1:5" ht="15.75">
      <c r="A146" s="1925">
        <v>5533</v>
      </c>
      <c r="B146" s="1922" t="s">
        <v>800</v>
      </c>
      <c r="C146" s="1925">
        <v>5533</v>
      </c>
      <c r="E146" s="1958"/>
    </row>
    <row r="147" spans="1:5" ht="15">
      <c r="A147" s="1926">
        <v>5534</v>
      </c>
      <c r="B147" s="1922" t="s">
        <v>801</v>
      </c>
      <c r="C147" s="1926">
        <v>5534</v>
      </c>
      <c r="E147" s="1958"/>
    </row>
    <row r="148" spans="1:5" ht="15">
      <c r="A148" s="1926">
        <v>5535</v>
      </c>
      <c r="B148" s="1922" t="s">
        <v>802</v>
      </c>
      <c r="C148" s="1926">
        <v>5535</v>
      </c>
      <c r="E148" s="1958"/>
    </row>
    <row r="149" spans="1:5" ht="15.75">
      <c r="A149" s="1925">
        <v>5538</v>
      </c>
      <c r="B149" s="1918" t="s">
        <v>803</v>
      </c>
      <c r="C149" s="1925">
        <v>5538</v>
      </c>
      <c r="E149" s="1958"/>
    </row>
    <row r="150" spans="1:5" ht="15.75">
      <c r="A150" s="1925">
        <v>5540</v>
      </c>
      <c r="B150" s="1922" t="s">
        <v>804</v>
      </c>
      <c r="C150" s="1925">
        <v>5540</v>
      </c>
      <c r="E150" s="1958"/>
    </row>
    <row r="151" spans="1:5" ht="15.75">
      <c r="A151" s="1925">
        <v>5541</v>
      </c>
      <c r="B151" s="1922" t="s">
        <v>805</v>
      </c>
      <c r="C151" s="1925">
        <v>5541</v>
      </c>
      <c r="E151" s="1958"/>
    </row>
    <row r="152" spans="1:5" ht="15.75">
      <c r="A152" s="1925">
        <v>5545</v>
      </c>
      <c r="B152" s="1922" t="s">
        <v>806</v>
      </c>
      <c r="C152" s="1925">
        <v>5545</v>
      </c>
      <c r="E152" s="1958"/>
    </row>
    <row r="153" spans="1:5" ht="15.75">
      <c r="A153" s="1925">
        <v>5546</v>
      </c>
      <c r="B153" s="1922" t="s">
        <v>807</v>
      </c>
      <c r="C153" s="1925">
        <v>5546</v>
      </c>
      <c r="E153" s="1958"/>
    </row>
    <row r="154" spans="1:5" ht="15.75">
      <c r="A154" s="1925">
        <v>5547</v>
      </c>
      <c r="B154" s="1922" t="s">
        <v>808</v>
      </c>
      <c r="C154" s="1925">
        <v>5547</v>
      </c>
      <c r="E154" s="1958"/>
    </row>
    <row r="155" spans="1:5" ht="15.75">
      <c r="A155" s="1925">
        <v>5548</v>
      </c>
      <c r="B155" s="1922" t="s">
        <v>809</v>
      </c>
      <c r="C155" s="1925">
        <v>5548</v>
      </c>
      <c r="E155" s="1958"/>
    </row>
    <row r="156" spans="1:5" ht="15.75">
      <c r="A156" s="1925">
        <v>5550</v>
      </c>
      <c r="B156" s="1922" t="s">
        <v>810</v>
      </c>
      <c r="C156" s="1925">
        <v>5550</v>
      </c>
      <c r="E156" s="1958"/>
    </row>
    <row r="157" spans="1:5" ht="15.75">
      <c r="A157" s="1925">
        <v>5551</v>
      </c>
      <c r="B157" s="1922" t="s">
        <v>811</v>
      </c>
      <c r="C157" s="1925">
        <v>5551</v>
      </c>
      <c r="E157" s="1958"/>
    </row>
    <row r="158" spans="1:5" ht="15.75">
      <c r="A158" s="1925">
        <v>5553</v>
      </c>
      <c r="B158" s="1922" t="s">
        <v>812</v>
      </c>
      <c r="C158" s="1925">
        <v>5553</v>
      </c>
      <c r="E158" s="1958"/>
    </row>
    <row r="159" spans="1:5" ht="15.75">
      <c r="A159" s="1925">
        <v>5554</v>
      </c>
      <c r="B159" s="1918" t="s">
        <v>813</v>
      </c>
      <c r="C159" s="1925">
        <v>5554</v>
      </c>
      <c r="E159" s="1958"/>
    </row>
    <row r="160" spans="1:5" ht="15.75">
      <c r="A160" s="1925">
        <v>5556</v>
      </c>
      <c r="B160" s="1914" t="s">
        <v>814</v>
      </c>
      <c r="C160" s="1925">
        <v>5556</v>
      </c>
      <c r="E160" s="1958"/>
    </row>
    <row r="161" spans="1:5" ht="15.75">
      <c r="A161" s="1925">
        <v>5561</v>
      </c>
      <c r="B161" s="1923" t="s">
        <v>815</v>
      </c>
      <c r="C161" s="1925">
        <v>5561</v>
      </c>
      <c r="E161" s="1958"/>
    </row>
    <row r="162" spans="1:5" ht="15.75">
      <c r="A162" s="1925">
        <v>5562</v>
      </c>
      <c r="B162" s="1923" t="s">
        <v>816</v>
      </c>
      <c r="C162" s="1925">
        <v>5562</v>
      </c>
      <c r="E162" s="1958"/>
    </row>
    <row r="163" spans="1:5" ht="15.75">
      <c r="A163" s="1925">
        <v>5588</v>
      </c>
      <c r="B163" s="1913" t="s">
        <v>817</v>
      </c>
      <c r="C163" s="1925">
        <v>5588</v>
      </c>
      <c r="E163" s="1958"/>
    </row>
    <row r="164" spans="1:5" ht="15.75">
      <c r="A164" s="1925">
        <v>5589</v>
      </c>
      <c r="B164" s="1913" t="s">
        <v>818</v>
      </c>
      <c r="C164" s="1925">
        <v>5589</v>
      </c>
      <c r="E164" s="1958"/>
    </row>
    <row r="165" spans="1:5" ht="15.75">
      <c r="A165" s="1925">
        <v>6601</v>
      </c>
      <c r="B165" s="1913" t="s">
        <v>819</v>
      </c>
      <c r="C165" s="1925">
        <v>6601</v>
      </c>
      <c r="E165" s="1958"/>
    </row>
    <row r="166" spans="1:5" ht="15.75">
      <c r="A166" s="1925">
        <v>6602</v>
      </c>
      <c r="B166" s="1914" t="s">
        <v>820</v>
      </c>
      <c r="C166" s="1925">
        <v>6602</v>
      </c>
      <c r="E166" s="1958"/>
    </row>
    <row r="167" spans="1:5" ht="15.75">
      <c r="A167" s="1925">
        <v>6603</v>
      </c>
      <c r="B167" s="1914" t="s">
        <v>821</v>
      </c>
      <c r="C167" s="1925">
        <v>6603</v>
      </c>
      <c r="E167" s="1958"/>
    </row>
    <row r="168" spans="1:5" ht="15.75">
      <c r="A168" s="1925">
        <v>6604</v>
      </c>
      <c r="B168" s="1914" t="s">
        <v>822</v>
      </c>
      <c r="C168" s="1925">
        <v>6604</v>
      </c>
      <c r="E168" s="1958"/>
    </row>
    <row r="169" spans="1:5" ht="15.75">
      <c r="A169" s="1925">
        <v>6605</v>
      </c>
      <c r="B169" s="1914" t="s">
        <v>823</v>
      </c>
      <c r="C169" s="1925">
        <v>6605</v>
      </c>
      <c r="E169" s="1958"/>
    </row>
    <row r="170" spans="1:5" ht="15">
      <c r="A170" s="1926">
        <v>6606</v>
      </c>
      <c r="B170" s="1916" t="s">
        <v>824</v>
      </c>
      <c r="C170" s="1926">
        <v>6606</v>
      </c>
      <c r="E170" s="1958"/>
    </row>
    <row r="171" spans="1:5" ht="15.75">
      <c r="A171" s="1925">
        <v>6618</v>
      </c>
      <c r="B171" s="1913" t="s">
        <v>825</v>
      </c>
      <c r="C171" s="1925">
        <v>6618</v>
      </c>
      <c r="E171" s="1958"/>
    </row>
    <row r="172" spans="1:5" ht="15.75">
      <c r="A172" s="1925">
        <v>6619</v>
      </c>
      <c r="B172" s="1914" t="s">
        <v>826</v>
      </c>
      <c r="C172" s="1925">
        <v>6619</v>
      </c>
      <c r="E172" s="1958"/>
    </row>
    <row r="173" spans="1:5" ht="15.75">
      <c r="A173" s="1925">
        <v>6621</v>
      </c>
      <c r="B173" s="1913" t="s">
        <v>827</v>
      </c>
      <c r="C173" s="1925">
        <v>6621</v>
      </c>
      <c r="E173" s="1958"/>
    </row>
    <row r="174" spans="1:5" ht="15.75">
      <c r="A174" s="1925">
        <v>6622</v>
      </c>
      <c r="B174" s="1914" t="s">
        <v>828</v>
      </c>
      <c r="C174" s="1925">
        <v>6622</v>
      </c>
      <c r="E174" s="1958"/>
    </row>
    <row r="175" spans="1:5" ht="15.75">
      <c r="A175" s="1925">
        <v>6623</v>
      </c>
      <c r="B175" s="1914" t="s">
        <v>829</v>
      </c>
      <c r="C175" s="1925">
        <v>6623</v>
      </c>
      <c r="E175" s="1958"/>
    </row>
    <row r="176" spans="1:5" ht="15.75">
      <c r="A176" s="1925">
        <v>6624</v>
      </c>
      <c r="B176" s="1914" t="s">
        <v>830</v>
      </c>
      <c r="C176" s="1925">
        <v>6624</v>
      </c>
      <c r="E176" s="1958"/>
    </row>
    <row r="177" spans="1:5" ht="15.75">
      <c r="A177" s="1925">
        <v>6625</v>
      </c>
      <c r="B177" s="1915" t="s">
        <v>831</v>
      </c>
      <c r="C177" s="1925">
        <v>6625</v>
      </c>
      <c r="E177" s="1958"/>
    </row>
    <row r="178" spans="1:5" ht="15.75">
      <c r="A178" s="1925">
        <v>6626</v>
      </c>
      <c r="B178" s="1915" t="s">
        <v>1710</v>
      </c>
      <c r="C178" s="1925">
        <v>6626</v>
      </c>
      <c r="E178" s="1958"/>
    </row>
    <row r="179" spans="1:5" ht="15.75">
      <c r="A179" s="1925">
        <v>6627</v>
      </c>
      <c r="B179" s="1915" t="s">
        <v>1711</v>
      </c>
      <c r="C179" s="1925">
        <v>6627</v>
      </c>
      <c r="E179" s="1958"/>
    </row>
    <row r="180" spans="1:5" ht="15.75">
      <c r="A180" s="1925">
        <v>6628</v>
      </c>
      <c r="B180" s="1921" t="s">
        <v>1712</v>
      </c>
      <c r="C180" s="1925">
        <v>6628</v>
      </c>
      <c r="E180" s="1958"/>
    </row>
    <row r="181" spans="1:5" ht="15.75">
      <c r="A181" s="1925">
        <v>6629</v>
      </c>
      <c r="B181" s="1923" t="s">
        <v>1713</v>
      </c>
      <c r="C181" s="1925">
        <v>6629</v>
      </c>
      <c r="E181" s="1958"/>
    </row>
    <row r="182" spans="1:5" ht="15.75">
      <c r="A182" s="1927">
        <v>7701</v>
      </c>
      <c r="B182" s="1913" t="s">
        <v>1714</v>
      </c>
      <c r="C182" s="1927">
        <v>7701</v>
      </c>
      <c r="E182" s="1958"/>
    </row>
    <row r="183" spans="1:5" ht="15.75">
      <c r="A183" s="1925">
        <v>7708</v>
      </c>
      <c r="B183" s="1913" t="s">
        <v>1715</v>
      </c>
      <c r="C183" s="1925">
        <v>7708</v>
      </c>
      <c r="E183" s="1958"/>
    </row>
    <row r="184" spans="1:5" ht="15.75">
      <c r="A184" s="1925">
        <v>7711</v>
      </c>
      <c r="B184" s="1916" t="s">
        <v>1716</v>
      </c>
      <c r="C184" s="1925">
        <v>7711</v>
      </c>
      <c r="E184" s="1958"/>
    </row>
    <row r="185" spans="1:5" ht="15.75">
      <c r="A185" s="1925">
        <v>7712</v>
      </c>
      <c r="B185" s="1913" t="s">
        <v>1717</v>
      </c>
      <c r="C185" s="1925">
        <v>7712</v>
      </c>
      <c r="E185" s="1958"/>
    </row>
    <row r="186" spans="1:5" ht="15.75">
      <c r="A186" s="1925">
        <v>7713</v>
      </c>
      <c r="B186" s="1924" t="s">
        <v>1718</v>
      </c>
      <c r="C186" s="1925">
        <v>7713</v>
      </c>
      <c r="E186" s="1958"/>
    </row>
    <row r="187" spans="1:5" ht="15.75">
      <c r="A187" s="1925">
        <v>7714</v>
      </c>
      <c r="B187" s="1912" t="s">
        <v>1719</v>
      </c>
      <c r="C187" s="1925">
        <v>7714</v>
      </c>
      <c r="E187" s="1958"/>
    </row>
    <row r="188" spans="1:5" ht="15.75">
      <c r="A188" s="1925">
        <v>7718</v>
      </c>
      <c r="B188" s="1913" t="s">
        <v>1720</v>
      </c>
      <c r="C188" s="1925">
        <v>7718</v>
      </c>
      <c r="E188" s="1958"/>
    </row>
    <row r="189" spans="1:5" ht="15.75">
      <c r="A189" s="1925">
        <v>7719</v>
      </c>
      <c r="B189" s="1914" t="s">
        <v>1721</v>
      </c>
      <c r="C189" s="1925">
        <v>7719</v>
      </c>
      <c r="E189" s="1958"/>
    </row>
    <row r="190" spans="1:5" ht="15.75">
      <c r="A190" s="1925">
        <v>7731</v>
      </c>
      <c r="B190" s="1913" t="s">
        <v>1722</v>
      </c>
      <c r="C190" s="1925">
        <v>7731</v>
      </c>
      <c r="E190" s="1958"/>
    </row>
    <row r="191" spans="1:5" ht="15.75">
      <c r="A191" s="1925">
        <v>7732</v>
      </c>
      <c r="B191" s="1914" t="s">
        <v>1723</v>
      </c>
      <c r="C191" s="1925">
        <v>7732</v>
      </c>
      <c r="E191" s="1958"/>
    </row>
    <row r="192" spans="1:5" ht="15.75">
      <c r="A192" s="1925">
        <v>7733</v>
      </c>
      <c r="B192" s="1914" t="s">
        <v>1724</v>
      </c>
      <c r="C192" s="1925">
        <v>7733</v>
      </c>
      <c r="E192" s="1958"/>
    </row>
    <row r="193" spans="1:5" ht="15.75">
      <c r="A193" s="1925">
        <v>7735</v>
      </c>
      <c r="B193" s="1914" t="s">
        <v>1725</v>
      </c>
      <c r="C193" s="1925">
        <v>7735</v>
      </c>
      <c r="E193" s="1958"/>
    </row>
    <row r="194" spans="1:5" ht="15.75">
      <c r="A194" s="1925">
        <v>7736</v>
      </c>
      <c r="B194" s="1913" t="s">
        <v>1726</v>
      </c>
      <c r="C194" s="1925">
        <v>7736</v>
      </c>
      <c r="E194" s="1958"/>
    </row>
    <row r="195" spans="1:5" ht="15.75">
      <c r="A195" s="1925">
        <v>7737</v>
      </c>
      <c r="B195" s="1914" t="s">
        <v>1727</v>
      </c>
      <c r="C195" s="1925">
        <v>7737</v>
      </c>
      <c r="E195" s="1958"/>
    </row>
    <row r="196" spans="1:5" ht="15.75">
      <c r="A196" s="1925">
        <v>7738</v>
      </c>
      <c r="B196" s="1914" t="s">
        <v>1728</v>
      </c>
      <c r="C196" s="1925">
        <v>7738</v>
      </c>
      <c r="E196" s="1958"/>
    </row>
    <row r="197" spans="1:5" ht="15.75">
      <c r="A197" s="1925">
        <v>7739</v>
      </c>
      <c r="B197" s="1918" t="s">
        <v>1729</v>
      </c>
      <c r="C197" s="1925">
        <v>7739</v>
      </c>
      <c r="E197" s="1958"/>
    </row>
    <row r="198" spans="1:5" ht="15.75">
      <c r="A198" s="1925">
        <v>7740</v>
      </c>
      <c r="B198" s="1918" t="s">
        <v>1730</v>
      </c>
      <c r="C198" s="1925">
        <v>7740</v>
      </c>
      <c r="E198" s="1958"/>
    </row>
    <row r="199" spans="1:5" ht="15.75">
      <c r="A199" s="1925">
        <v>7741</v>
      </c>
      <c r="B199" s="1914" t="s">
        <v>1731</v>
      </c>
      <c r="C199" s="1925">
        <v>7741</v>
      </c>
      <c r="E199" s="1958"/>
    </row>
    <row r="200" spans="1:5" ht="15.75">
      <c r="A200" s="1925">
        <v>7742</v>
      </c>
      <c r="B200" s="1914" t="s">
        <v>1732</v>
      </c>
      <c r="C200" s="1925">
        <v>7742</v>
      </c>
      <c r="E200" s="1958"/>
    </row>
    <row r="201" spans="1:5" ht="15.75">
      <c r="A201" s="1925">
        <v>7743</v>
      </c>
      <c r="B201" s="1914" t="s">
        <v>1733</v>
      </c>
      <c r="C201" s="1925">
        <v>7743</v>
      </c>
      <c r="E201" s="1958"/>
    </row>
    <row r="202" spans="1:5" ht="15.75">
      <c r="A202" s="1925">
        <v>7744</v>
      </c>
      <c r="B202" s="1923" t="s">
        <v>1734</v>
      </c>
      <c r="C202" s="1925">
        <v>7744</v>
      </c>
      <c r="E202" s="1958"/>
    </row>
    <row r="203" spans="1:5" ht="15.75">
      <c r="A203" s="1925">
        <v>7745</v>
      </c>
      <c r="B203" s="1914" t="s">
        <v>1735</v>
      </c>
      <c r="C203" s="1925">
        <v>7745</v>
      </c>
      <c r="E203" s="1958"/>
    </row>
    <row r="204" spans="1:5" ht="15.75">
      <c r="A204" s="1925">
        <v>7746</v>
      </c>
      <c r="B204" s="1914" t="s">
        <v>1736</v>
      </c>
      <c r="C204" s="1925">
        <v>7746</v>
      </c>
      <c r="E204" s="1958"/>
    </row>
    <row r="205" spans="1:5" ht="15.75">
      <c r="A205" s="1925">
        <v>7747</v>
      </c>
      <c r="B205" s="1913" t="s">
        <v>1737</v>
      </c>
      <c r="C205" s="1925">
        <v>7747</v>
      </c>
      <c r="E205" s="1958"/>
    </row>
    <row r="206" spans="1:5" ht="15.75">
      <c r="A206" s="1925">
        <v>7748</v>
      </c>
      <c r="B206" s="1916" t="s">
        <v>1738</v>
      </c>
      <c r="C206" s="1925">
        <v>7748</v>
      </c>
      <c r="E206" s="1958"/>
    </row>
    <row r="207" spans="1:5" ht="15.75">
      <c r="A207" s="1925">
        <v>7751</v>
      </c>
      <c r="B207" s="1914" t="s">
        <v>1739</v>
      </c>
      <c r="C207" s="1925">
        <v>7751</v>
      </c>
      <c r="E207" s="1958"/>
    </row>
    <row r="208" spans="1:5" ht="15.75">
      <c r="A208" s="1925">
        <v>7752</v>
      </c>
      <c r="B208" s="1914" t="s">
        <v>1740</v>
      </c>
      <c r="C208" s="1925">
        <v>7752</v>
      </c>
      <c r="E208" s="1958"/>
    </row>
    <row r="209" spans="1:5" ht="15.75">
      <c r="A209" s="1925">
        <v>7755</v>
      </c>
      <c r="B209" s="1915" t="s">
        <v>1741</v>
      </c>
      <c r="C209" s="1925">
        <v>7755</v>
      </c>
      <c r="E209" s="1958"/>
    </row>
    <row r="210" spans="1:5" ht="15.75">
      <c r="A210" s="1925">
        <v>7758</v>
      </c>
      <c r="B210" s="1913" t="s">
        <v>1742</v>
      </c>
      <c r="C210" s="1925">
        <v>7758</v>
      </c>
      <c r="E210" s="1958"/>
    </row>
    <row r="211" spans="1:5" ht="15.75">
      <c r="A211" s="1925">
        <v>7759</v>
      </c>
      <c r="B211" s="1914" t="s">
        <v>1743</v>
      </c>
      <c r="C211" s="1925">
        <v>7759</v>
      </c>
      <c r="E211" s="1958"/>
    </row>
    <row r="212" spans="1:5" ht="15.75">
      <c r="A212" s="1925">
        <v>7761</v>
      </c>
      <c r="B212" s="1913" t="s">
        <v>1744</v>
      </c>
      <c r="C212" s="1925">
        <v>7761</v>
      </c>
      <c r="E212" s="1958"/>
    </row>
    <row r="213" spans="1:5" ht="15.75">
      <c r="A213" s="1925">
        <v>7762</v>
      </c>
      <c r="B213" s="1913" t="s">
        <v>1745</v>
      </c>
      <c r="C213" s="1925">
        <v>7762</v>
      </c>
      <c r="E213" s="1958"/>
    </row>
    <row r="214" spans="1:5" ht="15.75">
      <c r="A214" s="1925">
        <v>7768</v>
      </c>
      <c r="B214" s="1913" t="s">
        <v>1746</v>
      </c>
      <c r="C214" s="1925">
        <v>7768</v>
      </c>
      <c r="E214" s="1958"/>
    </row>
    <row r="215" spans="1:5" ht="15.75">
      <c r="A215" s="1925">
        <v>8801</v>
      </c>
      <c r="B215" s="1916" t="s">
        <v>1747</v>
      </c>
      <c r="C215" s="1925">
        <v>8801</v>
      </c>
      <c r="E215" s="1958"/>
    </row>
    <row r="216" spans="1:5" ht="15.75">
      <c r="A216" s="1925">
        <v>8802</v>
      </c>
      <c r="B216" s="1913" t="s">
        <v>1748</v>
      </c>
      <c r="C216" s="1925">
        <v>8802</v>
      </c>
      <c r="E216" s="1958"/>
    </row>
    <row r="217" spans="1:5" ht="15.75">
      <c r="A217" s="1925">
        <v>8803</v>
      </c>
      <c r="B217" s="1913" t="s">
        <v>1749</v>
      </c>
      <c r="C217" s="1925">
        <v>8803</v>
      </c>
      <c r="E217" s="1958"/>
    </row>
    <row r="218" spans="1:5" ht="15.75">
      <c r="A218" s="1925">
        <v>8804</v>
      </c>
      <c r="B218" s="1913" t="s">
        <v>1750</v>
      </c>
      <c r="C218" s="1925">
        <v>8804</v>
      </c>
      <c r="E218" s="1958"/>
    </row>
    <row r="219" spans="1:5" ht="15.75">
      <c r="A219" s="1925">
        <v>8805</v>
      </c>
      <c r="B219" s="1915" t="s">
        <v>1751</v>
      </c>
      <c r="C219" s="1925">
        <v>8805</v>
      </c>
      <c r="E219" s="1958"/>
    </row>
    <row r="220" spans="1:5" ht="15.75">
      <c r="A220" s="1925">
        <v>8807</v>
      </c>
      <c r="B220" s="1921" t="s">
        <v>1752</v>
      </c>
      <c r="C220" s="1925">
        <v>8807</v>
      </c>
      <c r="E220" s="1958"/>
    </row>
    <row r="221" spans="1:5" ht="15.75">
      <c r="A221" s="1925">
        <v>8808</v>
      </c>
      <c r="B221" s="1914" t="s">
        <v>1753</v>
      </c>
      <c r="C221" s="1925">
        <v>8808</v>
      </c>
      <c r="E221" s="1958"/>
    </row>
    <row r="222" spans="1:5" ht="15.75">
      <c r="A222" s="1925">
        <v>8809</v>
      </c>
      <c r="B222" s="1914" t="s">
        <v>1754</v>
      </c>
      <c r="C222" s="1925">
        <v>8809</v>
      </c>
      <c r="E222" s="1958"/>
    </row>
    <row r="223" spans="1:5" ht="15.75">
      <c r="A223" s="1925">
        <v>8811</v>
      </c>
      <c r="B223" s="1913" t="s">
        <v>1755</v>
      </c>
      <c r="C223" s="1925">
        <v>8811</v>
      </c>
      <c r="E223" s="1958"/>
    </row>
    <row r="224" spans="1:5" ht="15.75">
      <c r="A224" s="1925">
        <v>8813</v>
      </c>
      <c r="B224" s="1914" t="s">
        <v>1756</v>
      </c>
      <c r="C224" s="1925">
        <v>8813</v>
      </c>
      <c r="E224" s="1958"/>
    </row>
    <row r="225" spans="1:5" ht="15.75">
      <c r="A225" s="1925">
        <v>8814</v>
      </c>
      <c r="B225" s="1913" t="s">
        <v>1757</v>
      </c>
      <c r="C225" s="1925">
        <v>8814</v>
      </c>
      <c r="E225" s="1958"/>
    </row>
    <row r="226" spans="1:5" ht="15.75">
      <c r="A226" s="1925">
        <v>8815</v>
      </c>
      <c r="B226" s="1913" t="s">
        <v>1758</v>
      </c>
      <c r="C226" s="1925">
        <v>8815</v>
      </c>
      <c r="E226" s="1958"/>
    </row>
    <row r="227" spans="1:5" ht="15.75">
      <c r="A227" s="1925">
        <v>8816</v>
      </c>
      <c r="B227" s="1914" t="s">
        <v>1759</v>
      </c>
      <c r="C227" s="1925">
        <v>8816</v>
      </c>
      <c r="E227" s="1958"/>
    </row>
    <row r="228" spans="1:5" ht="15.75">
      <c r="A228" s="1925">
        <v>8817</v>
      </c>
      <c r="B228" s="1914" t="s">
        <v>1760</v>
      </c>
      <c r="C228" s="1925">
        <v>8817</v>
      </c>
      <c r="E228" s="1958"/>
    </row>
    <row r="229" spans="1:5" ht="15.75">
      <c r="A229" s="1925">
        <v>8821</v>
      </c>
      <c r="B229" s="1914" t="s">
        <v>1761</v>
      </c>
      <c r="C229" s="1925">
        <v>8821</v>
      </c>
      <c r="E229" s="1958"/>
    </row>
    <row r="230" spans="1:5" ht="15.75">
      <c r="A230" s="1925">
        <v>8824</v>
      </c>
      <c r="B230" s="1916" t="s">
        <v>1762</v>
      </c>
      <c r="C230" s="1925">
        <v>8824</v>
      </c>
      <c r="E230" s="1958"/>
    </row>
    <row r="231" spans="1:5" ht="15.75">
      <c r="A231" s="1925">
        <v>8825</v>
      </c>
      <c r="B231" s="1916" t="s">
        <v>1763</v>
      </c>
      <c r="C231" s="1925">
        <v>8825</v>
      </c>
      <c r="E231" s="1958"/>
    </row>
    <row r="232" spans="1:5" ht="15.75">
      <c r="A232" s="1925">
        <v>8826</v>
      </c>
      <c r="B232" s="1916" t="s">
        <v>1764</v>
      </c>
      <c r="C232" s="1925">
        <v>8826</v>
      </c>
      <c r="E232" s="1958"/>
    </row>
    <row r="233" spans="1:5" ht="15.75">
      <c r="A233" s="1925">
        <v>8827</v>
      </c>
      <c r="B233" s="1916" t="s">
        <v>1765</v>
      </c>
      <c r="C233" s="1925">
        <v>8827</v>
      </c>
      <c r="E233" s="1958"/>
    </row>
    <row r="234" spans="1:5" ht="15.75">
      <c r="A234" s="1925">
        <v>8828</v>
      </c>
      <c r="B234" s="1913" t="s">
        <v>1766</v>
      </c>
      <c r="C234" s="1925">
        <v>8828</v>
      </c>
      <c r="E234" s="1958"/>
    </row>
    <row r="235" spans="1:5" ht="15.75">
      <c r="A235" s="1925">
        <v>8829</v>
      </c>
      <c r="B235" s="1913" t="s">
        <v>1767</v>
      </c>
      <c r="C235" s="1925">
        <v>8829</v>
      </c>
      <c r="E235" s="1958"/>
    </row>
    <row r="236" spans="1:5" ht="15.75">
      <c r="A236" s="1925">
        <v>8831</v>
      </c>
      <c r="B236" s="1913" t="s">
        <v>1768</v>
      </c>
      <c r="C236" s="1925">
        <v>8831</v>
      </c>
      <c r="E236" s="1958"/>
    </row>
    <row r="237" spans="1:5" ht="15.75">
      <c r="A237" s="1925">
        <v>8832</v>
      </c>
      <c r="B237" s="1914" t="s">
        <v>1769</v>
      </c>
      <c r="C237" s="1925">
        <v>8832</v>
      </c>
      <c r="E237" s="1958"/>
    </row>
    <row r="238" spans="1:5" ht="15.75">
      <c r="A238" s="1925">
        <v>8833</v>
      </c>
      <c r="B238" s="1913" t="s">
        <v>1770</v>
      </c>
      <c r="C238" s="1925">
        <v>8833</v>
      </c>
      <c r="E238" s="1958"/>
    </row>
    <row r="239" spans="1:5" ht="15.75">
      <c r="A239" s="1925">
        <v>8834</v>
      </c>
      <c r="B239" s="1914" t="s">
        <v>1771</v>
      </c>
      <c r="C239" s="1925">
        <v>8834</v>
      </c>
      <c r="E239" s="1958"/>
    </row>
    <row r="240" spans="1:5" ht="15.75">
      <c r="A240" s="1925">
        <v>8835</v>
      </c>
      <c r="B240" s="1914" t="s">
        <v>1772</v>
      </c>
      <c r="C240" s="1925">
        <v>8835</v>
      </c>
      <c r="E240" s="1958"/>
    </row>
    <row r="241" spans="1:5" ht="15.75">
      <c r="A241" s="1925">
        <v>8836</v>
      </c>
      <c r="B241" s="1913" t="s">
        <v>1773</v>
      </c>
      <c r="C241" s="1925">
        <v>8836</v>
      </c>
      <c r="E241" s="1958"/>
    </row>
    <row r="242" spans="1:5" ht="15.75">
      <c r="A242" s="1925">
        <v>8837</v>
      </c>
      <c r="B242" s="1913" t="s">
        <v>1774</v>
      </c>
      <c r="C242" s="1925">
        <v>8837</v>
      </c>
      <c r="E242" s="1958"/>
    </row>
    <row r="243" spans="1:5" ht="15.75">
      <c r="A243" s="1925">
        <v>8838</v>
      </c>
      <c r="B243" s="1913" t="s">
        <v>1775</v>
      </c>
      <c r="C243" s="1925">
        <v>8838</v>
      </c>
      <c r="E243" s="1958"/>
    </row>
    <row r="244" spans="1:5" ht="15.75">
      <c r="A244" s="1925">
        <v>8839</v>
      </c>
      <c r="B244" s="1914" t="s">
        <v>1776</v>
      </c>
      <c r="C244" s="1925">
        <v>8839</v>
      </c>
      <c r="E244" s="1958"/>
    </row>
    <row r="245" spans="1:5" ht="15.75">
      <c r="A245" s="1925">
        <v>8845</v>
      </c>
      <c r="B245" s="1915" t="s">
        <v>1777</v>
      </c>
      <c r="C245" s="1925">
        <v>8845</v>
      </c>
      <c r="E245" s="1958"/>
    </row>
    <row r="246" spans="1:5" ht="15.75">
      <c r="A246" s="1925">
        <v>8848</v>
      </c>
      <c r="B246" s="1921" t="s">
        <v>1778</v>
      </c>
      <c r="C246" s="1925">
        <v>8848</v>
      </c>
      <c r="E246" s="1958"/>
    </row>
    <row r="247" spans="1:5" ht="15.75">
      <c r="A247" s="1925">
        <v>8849</v>
      </c>
      <c r="B247" s="1913" t="s">
        <v>1779</v>
      </c>
      <c r="C247" s="1925">
        <v>8849</v>
      </c>
      <c r="E247" s="1958"/>
    </row>
    <row r="248" spans="1:5" ht="15.75">
      <c r="A248" s="1925">
        <v>8851</v>
      </c>
      <c r="B248" s="1913" t="s">
        <v>1780</v>
      </c>
      <c r="C248" s="1925">
        <v>8851</v>
      </c>
      <c r="E248" s="1958"/>
    </row>
    <row r="249" spans="1:5" ht="15.75">
      <c r="A249" s="1925">
        <v>8852</v>
      </c>
      <c r="B249" s="1913" t="s">
        <v>1781</v>
      </c>
      <c r="C249" s="1925">
        <v>8852</v>
      </c>
      <c r="E249" s="1958"/>
    </row>
    <row r="250" spans="1:5" ht="15.75">
      <c r="A250" s="1925">
        <v>8853</v>
      </c>
      <c r="B250" s="1913" t="s">
        <v>1782</v>
      </c>
      <c r="C250" s="1925">
        <v>8853</v>
      </c>
      <c r="E250" s="1958"/>
    </row>
    <row r="251" spans="1:5" ht="15.75">
      <c r="A251" s="1925">
        <v>8855</v>
      </c>
      <c r="B251" s="1915" t="s">
        <v>1783</v>
      </c>
      <c r="C251" s="1925">
        <v>8855</v>
      </c>
      <c r="E251" s="1958"/>
    </row>
    <row r="252" spans="1:5" ht="15.75">
      <c r="A252" s="1925">
        <v>8858</v>
      </c>
      <c r="B252" s="1923" t="s">
        <v>516</v>
      </c>
      <c r="C252" s="1925">
        <v>8858</v>
      </c>
      <c r="E252" s="1958"/>
    </row>
    <row r="253" spans="1:5" ht="15.75">
      <c r="A253" s="1925">
        <v>8859</v>
      </c>
      <c r="B253" s="1914" t="s">
        <v>517</v>
      </c>
      <c r="C253" s="1925">
        <v>8859</v>
      </c>
      <c r="E253" s="1958"/>
    </row>
    <row r="254" spans="1:5" ht="15.75">
      <c r="A254" s="1925">
        <v>8861</v>
      </c>
      <c r="B254" s="1913" t="s">
        <v>518</v>
      </c>
      <c r="C254" s="1925">
        <v>8861</v>
      </c>
      <c r="E254" s="1958"/>
    </row>
    <row r="255" spans="1:5" ht="15.75">
      <c r="A255" s="1925">
        <v>8862</v>
      </c>
      <c r="B255" s="1914" t="s">
        <v>519</v>
      </c>
      <c r="C255" s="1925">
        <v>8862</v>
      </c>
      <c r="E255" s="1958"/>
    </row>
    <row r="256" spans="1:5" ht="15.75">
      <c r="A256" s="1925">
        <v>8863</v>
      </c>
      <c r="B256" s="1914" t="s">
        <v>520</v>
      </c>
      <c r="C256" s="1925">
        <v>8863</v>
      </c>
      <c r="E256" s="1958"/>
    </row>
    <row r="257" spans="1:5" ht="15.75">
      <c r="A257" s="1925">
        <v>8864</v>
      </c>
      <c r="B257" s="1913" t="s">
        <v>521</v>
      </c>
      <c r="C257" s="1925">
        <v>8864</v>
      </c>
      <c r="E257" s="1958"/>
    </row>
    <row r="258" spans="1:5" ht="15.75">
      <c r="A258" s="1925">
        <v>8865</v>
      </c>
      <c r="B258" s="1914" t="s">
        <v>522</v>
      </c>
      <c r="C258" s="1925">
        <v>8865</v>
      </c>
      <c r="E258" s="1958"/>
    </row>
    <row r="259" spans="1:5" ht="15.75">
      <c r="A259" s="1925">
        <v>8866</v>
      </c>
      <c r="B259" s="1914" t="s">
        <v>919</v>
      </c>
      <c r="C259" s="1925">
        <v>8866</v>
      </c>
      <c r="E259" s="1958"/>
    </row>
    <row r="260" spans="1:5" ht="15.75">
      <c r="A260" s="1925">
        <v>8867</v>
      </c>
      <c r="B260" s="1914" t="s">
        <v>920</v>
      </c>
      <c r="C260" s="1925">
        <v>8867</v>
      </c>
      <c r="E260" s="1958"/>
    </row>
    <row r="261" spans="1:5" ht="15.75">
      <c r="A261" s="1925">
        <v>8868</v>
      </c>
      <c r="B261" s="1914" t="s">
        <v>921</v>
      </c>
      <c r="C261" s="1925">
        <v>8868</v>
      </c>
      <c r="E261" s="1958"/>
    </row>
    <row r="262" spans="1:5" ht="15.75">
      <c r="A262" s="1925">
        <v>8869</v>
      </c>
      <c r="B262" s="1913" t="s">
        <v>922</v>
      </c>
      <c r="C262" s="1925">
        <v>8869</v>
      </c>
      <c r="E262" s="1958"/>
    </row>
    <row r="263" spans="1:5" ht="15.75">
      <c r="A263" s="1925">
        <v>8871</v>
      </c>
      <c r="B263" s="1914" t="s">
        <v>923</v>
      </c>
      <c r="C263" s="1925">
        <v>8871</v>
      </c>
      <c r="E263" s="1958"/>
    </row>
    <row r="264" spans="1:5" ht="15.75">
      <c r="A264" s="1925">
        <v>8872</v>
      </c>
      <c r="B264" s="1914" t="s">
        <v>530</v>
      </c>
      <c r="C264" s="1925">
        <v>8872</v>
      </c>
      <c r="E264" s="1958"/>
    </row>
    <row r="265" spans="1:5" ht="15.75">
      <c r="A265" s="1925">
        <v>8873</v>
      </c>
      <c r="B265" s="1914" t="s">
        <v>531</v>
      </c>
      <c r="C265" s="1925">
        <v>8873</v>
      </c>
      <c r="E265" s="1958"/>
    </row>
    <row r="266" spans="1:5" ht="15.75">
      <c r="A266" s="1925">
        <v>8875</v>
      </c>
      <c r="B266" s="1914" t="s">
        <v>532</v>
      </c>
      <c r="C266" s="1925">
        <v>8875</v>
      </c>
      <c r="E266" s="1958"/>
    </row>
    <row r="267" spans="1:5" ht="15.75">
      <c r="A267" s="1925">
        <v>8876</v>
      </c>
      <c r="B267" s="1914" t="s">
        <v>533</v>
      </c>
      <c r="C267" s="1925">
        <v>8876</v>
      </c>
      <c r="E267" s="1958"/>
    </row>
    <row r="268" spans="1:5" ht="15.75">
      <c r="A268" s="1925">
        <v>8877</v>
      </c>
      <c r="B268" s="1913" t="s">
        <v>534</v>
      </c>
      <c r="C268" s="1925">
        <v>8877</v>
      </c>
      <c r="E268" s="1958"/>
    </row>
    <row r="269" spans="1:5" ht="15.75">
      <c r="A269" s="1925">
        <v>8878</v>
      </c>
      <c r="B269" s="1923" t="s">
        <v>535</v>
      </c>
      <c r="C269" s="1925">
        <v>8878</v>
      </c>
      <c r="E269" s="1958"/>
    </row>
    <row r="270" spans="1:5" ht="15.75">
      <c r="A270" s="1925">
        <v>8885</v>
      </c>
      <c r="B270" s="1916" t="s">
        <v>536</v>
      </c>
      <c r="C270" s="1925">
        <v>8885</v>
      </c>
      <c r="E270" s="1958"/>
    </row>
    <row r="271" spans="1:5" ht="15.75">
      <c r="A271" s="1925">
        <v>8888</v>
      </c>
      <c r="B271" s="1913" t="s">
        <v>537</v>
      </c>
      <c r="C271" s="1925">
        <v>8888</v>
      </c>
      <c r="E271" s="1958"/>
    </row>
    <row r="272" spans="1:5" ht="15.75">
      <c r="A272" s="1925">
        <v>8897</v>
      </c>
      <c r="B272" s="1913" t="s">
        <v>538</v>
      </c>
      <c r="C272" s="1925">
        <v>8897</v>
      </c>
      <c r="E272" s="1958"/>
    </row>
    <row r="273" spans="1:5" ht="15.75">
      <c r="A273" s="1925">
        <v>8898</v>
      </c>
      <c r="B273" s="1913" t="s">
        <v>539</v>
      </c>
      <c r="C273" s="1925">
        <v>8898</v>
      </c>
      <c r="E273" s="1958"/>
    </row>
    <row r="274" spans="1:5" ht="15.75">
      <c r="A274" s="1925">
        <v>9910</v>
      </c>
      <c r="B274" s="1916" t="s">
        <v>540</v>
      </c>
      <c r="C274" s="1925">
        <v>9910</v>
      </c>
      <c r="E274" s="1958"/>
    </row>
    <row r="275" spans="1:5" ht="15.75">
      <c r="A275" s="1925">
        <v>9997</v>
      </c>
      <c r="B275" s="1913" t="s">
        <v>541</v>
      </c>
      <c r="C275" s="1925">
        <v>9997</v>
      </c>
      <c r="E275" s="1958"/>
    </row>
    <row r="276" spans="1:5" ht="15.75">
      <c r="A276" s="1925">
        <v>9998</v>
      </c>
      <c r="B276" s="1913" t="s">
        <v>542</v>
      </c>
      <c r="C276" s="1925">
        <v>9998</v>
      </c>
      <c r="E276" s="1958"/>
    </row>
    <row r="277" ht="14.25"/>
    <row r="278" ht="14.25"/>
    <row r="279" ht="14.25"/>
    <row r="280" ht="14.25"/>
    <row r="281" spans="1:2" ht="14.25">
      <c r="A281" s="239" t="s">
        <v>1218</v>
      </c>
      <c r="B281" s="240" t="s">
        <v>1223</v>
      </c>
    </row>
    <row r="282" spans="1:2" ht="14.25">
      <c r="A282" s="281" t="s">
        <v>543</v>
      </c>
      <c r="B282" s="282"/>
    </row>
    <row r="283" spans="1:2" ht="14.25">
      <c r="A283" s="1928" t="s">
        <v>1461</v>
      </c>
      <c r="B283" s="1929"/>
    </row>
    <row r="284" spans="1:2" ht="14.25">
      <c r="A284" s="1930" t="s">
        <v>1450</v>
      </c>
      <c r="B284" s="1931" t="s">
        <v>1462</v>
      </c>
    </row>
    <row r="285" spans="1:2" ht="14.25">
      <c r="A285" s="1930" t="s">
        <v>1451</v>
      </c>
      <c r="B285" s="1931" t="s">
        <v>1463</v>
      </c>
    </row>
    <row r="286" spans="1:2" ht="14.25">
      <c r="A286" s="1930" t="s">
        <v>1452</v>
      </c>
      <c r="B286" s="1931" t="s">
        <v>1464</v>
      </c>
    </row>
    <row r="287" spans="1:2" ht="14.25">
      <c r="A287" s="1930" t="s">
        <v>1453</v>
      </c>
      <c r="B287" s="1931" t="s">
        <v>1465</v>
      </c>
    </row>
    <row r="288" spans="1:2" ht="14.25">
      <c r="A288" s="1930" t="s">
        <v>1454</v>
      </c>
      <c r="B288" s="1932" t="s">
        <v>1466</v>
      </c>
    </row>
    <row r="289" spans="1:2" ht="14.25">
      <c r="A289" s="1930" t="s">
        <v>1455</v>
      </c>
      <c r="B289" s="1931" t="s">
        <v>1467</v>
      </c>
    </row>
    <row r="290" spans="1:2" ht="14.25">
      <c r="A290" s="1930" t="s">
        <v>1456</v>
      </c>
      <c r="B290" s="1931" t="s">
        <v>1468</v>
      </c>
    </row>
    <row r="291" spans="1:2" ht="14.25">
      <c r="A291" s="1930" t="s">
        <v>1457</v>
      </c>
      <c r="B291" s="1932" t="s">
        <v>1469</v>
      </c>
    </row>
    <row r="292" spans="1:2" ht="14.25">
      <c r="A292" s="1930" t="s">
        <v>1458</v>
      </c>
      <c r="B292" s="1931" t="s">
        <v>1470</v>
      </c>
    </row>
    <row r="293" spans="1:2" ht="14.25">
      <c r="A293" s="1930" t="s">
        <v>1459</v>
      </c>
      <c r="B293" s="1931" t="s">
        <v>1471</v>
      </c>
    </row>
    <row r="294" spans="1:2" ht="14.25">
      <c r="A294" s="1930" t="s">
        <v>1460</v>
      </c>
      <c r="B294" s="1932" t="s">
        <v>1472</v>
      </c>
    </row>
    <row r="295" spans="1:2" ht="14.25">
      <c r="A295" s="1930" t="s">
        <v>1473</v>
      </c>
      <c r="B295" s="1933">
        <v>98315</v>
      </c>
    </row>
    <row r="296" spans="1:2" ht="14.25">
      <c r="A296" s="1928" t="s">
        <v>1474</v>
      </c>
      <c r="B296" s="1948"/>
    </row>
    <row r="297" spans="1:2" ht="14.25">
      <c r="A297" s="1930" t="s">
        <v>1475</v>
      </c>
      <c r="B297" s="1934" t="s">
        <v>544</v>
      </c>
    </row>
    <row r="298" spans="1:2" ht="14.25">
      <c r="A298" s="1930" t="s">
        <v>1476</v>
      </c>
      <c r="B298" s="1934" t="s">
        <v>545</v>
      </c>
    </row>
    <row r="299" spans="1:2" ht="14.25">
      <c r="A299" s="1930" t="s">
        <v>1477</v>
      </c>
      <c r="B299" s="1934" t="s">
        <v>546</v>
      </c>
    </row>
    <row r="300" spans="1:2" ht="14.25">
      <c r="A300" s="1930" t="s">
        <v>1478</v>
      </c>
      <c r="B300" s="1934" t="s">
        <v>547</v>
      </c>
    </row>
    <row r="301" spans="1:2" ht="14.25">
      <c r="A301" s="1930" t="s">
        <v>1479</v>
      </c>
      <c r="B301" s="1934" t="s">
        <v>548</v>
      </c>
    </row>
    <row r="302" spans="1:2" ht="14.25">
      <c r="A302" s="1930" t="s">
        <v>1480</v>
      </c>
      <c r="B302" s="1934" t="s">
        <v>549</v>
      </c>
    </row>
    <row r="303" spans="1:2" ht="14.25">
      <c r="A303" s="1930" t="s">
        <v>1481</v>
      </c>
      <c r="B303" s="1934" t="s">
        <v>1482</v>
      </c>
    </row>
    <row r="304" spans="1:2" ht="14.25">
      <c r="A304" s="1930" t="s">
        <v>1483</v>
      </c>
      <c r="B304" s="1934" t="s">
        <v>550</v>
      </c>
    </row>
    <row r="305" spans="1:2" ht="14.25">
      <c r="A305" s="1930" t="s">
        <v>1484</v>
      </c>
      <c r="B305" s="1934" t="s">
        <v>551</v>
      </c>
    </row>
    <row r="306" ht="14.25"/>
    <row r="307" ht="14.25"/>
    <row r="308" spans="1:2" ht="14.25">
      <c r="A308" s="239" t="s">
        <v>1218</v>
      </c>
      <c r="B308" s="240" t="s">
        <v>1222</v>
      </c>
    </row>
    <row r="309" ht="15.75">
      <c r="B309" s="217" t="s">
        <v>1219</v>
      </c>
    </row>
    <row r="310" ht="18.75" thickBot="1">
      <c r="B310" s="217" t="s">
        <v>1220</v>
      </c>
    </row>
    <row r="311" spans="1:2" ht="16.5">
      <c r="A311" s="1935" t="s">
        <v>136</v>
      </c>
      <c r="B311" s="241" t="s">
        <v>552</v>
      </c>
    </row>
    <row r="312" spans="1:2" ht="16.5">
      <c r="A312" s="1936" t="s">
        <v>137</v>
      </c>
      <c r="B312" s="242" t="s">
        <v>553</v>
      </c>
    </row>
    <row r="313" spans="1:2" ht="16.5">
      <c r="A313" s="1936" t="s">
        <v>138</v>
      </c>
      <c r="B313" s="243" t="s">
        <v>554</v>
      </c>
    </row>
    <row r="314" spans="1:2" ht="16.5">
      <c r="A314" s="1936" t="s">
        <v>139</v>
      </c>
      <c r="B314" s="243" t="s">
        <v>555</v>
      </c>
    </row>
    <row r="315" spans="1:2" ht="16.5">
      <c r="A315" s="1936" t="s">
        <v>140</v>
      </c>
      <c r="B315" s="243" t="s">
        <v>556</v>
      </c>
    </row>
    <row r="316" spans="1:2" ht="16.5">
      <c r="A316" s="1936" t="s">
        <v>141</v>
      </c>
      <c r="B316" s="243" t="s">
        <v>557</v>
      </c>
    </row>
    <row r="317" spans="1:2" ht="16.5">
      <c r="A317" s="1936" t="s">
        <v>149</v>
      </c>
      <c r="B317" s="243" t="s">
        <v>558</v>
      </c>
    </row>
    <row r="318" spans="1:2" ht="16.5">
      <c r="A318" s="1936" t="s">
        <v>150</v>
      </c>
      <c r="B318" s="243" t="s">
        <v>559</v>
      </c>
    </row>
    <row r="319" spans="1:2" ht="16.5">
      <c r="A319" s="1936" t="s">
        <v>151</v>
      </c>
      <c r="B319" s="243" t="s">
        <v>560</v>
      </c>
    </row>
    <row r="320" spans="1:2" ht="16.5">
      <c r="A320" s="1936" t="s">
        <v>152</v>
      </c>
      <c r="B320" s="243" t="s">
        <v>561</v>
      </c>
    </row>
    <row r="321" spans="1:2" ht="16.5">
      <c r="A321" s="1936" t="s">
        <v>153</v>
      </c>
      <c r="B321" s="243" t="s">
        <v>562</v>
      </c>
    </row>
    <row r="322" spans="1:2" ht="16.5">
      <c r="A322" s="1936" t="s">
        <v>154</v>
      </c>
      <c r="B322" s="244" t="s">
        <v>563</v>
      </c>
    </row>
    <row r="323" spans="1:2" ht="16.5">
      <c r="A323" s="1936" t="s">
        <v>155</v>
      </c>
      <c r="B323" s="244" t="s">
        <v>564</v>
      </c>
    </row>
    <row r="324" spans="1:2" ht="16.5">
      <c r="A324" s="1936" t="s">
        <v>156</v>
      </c>
      <c r="B324" s="243" t="s">
        <v>565</v>
      </c>
    </row>
    <row r="325" spans="1:2" ht="16.5">
      <c r="A325" s="1936" t="s">
        <v>157</v>
      </c>
      <c r="B325" s="243" t="s">
        <v>566</v>
      </c>
    </row>
    <row r="326" spans="1:2" ht="16.5">
      <c r="A326" s="1936" t="s">
        <v>158</v>
      </c>
      <c r="B326" s="243" t="s">
        <v>567</v>
      </c>
    </row>
    <row r="327" spans="1:2" ht="16.5">
      <c r="A327" s="1936" t="s">
        <v>159</v>
      </c>
      <c r="B327" s="243" t="s">
        <v>1237</v>
      </c>
    </row>
    <row r="328" spans="1:2" ht="16.5">
      <c r="A328" s="1936" t="s">
        <v>160</v>
      </c>
      <c r="B328" s="243" t="s">
        <v>1239</v>
      </c>
    </row>
    <row r="329" spans="1:2" ht="16.5">
      <c r="A329" s="1936" t="s">
        <v>161</v>
      </c>
      <c r="B329" s="243" t="s">
        <v>2136</v>
      </c>
    </row>
    <row r="330" spans="1:2" ht="16.5">
      <c r="A330" s="1936" t="s">
        <v>162</v>
      </c>
      <c r="B330" s="243" t="s">
        <v>568</v>
      </c>
    </row>
    <row r="331" spans="1:2" ht="16.5">
      <c r="A331" s="1936" t="s">
        <v>163</v>
      </c>
      <c r="B331" s="243" t="s">
        <v>1240</v>
      </c>
    </row>
    <row r="332" spans="1:2" ht="16.5">
      <c r="A332" s="1936" t="s">
        <v>164</v>
      </c>
      <c r="B332" s="243" t="s">
        <v>569</v>
      </c>
    </row>
    <row r="333" spans="1:2" s="218" customFormat="1" ht="16.5">
      <c r="A333" s="1936" t="s">
        <v>165</v>
      </c>
      <c r="B333" s="243" t="s">
        <v>570</v>
      </c>
    </row>
    <row r="334" spans="1:2" ht="30">
      <c r="A334" s="1937" t="s">
        <v>166</v>
      </c>
      <c r="B334" s="246" t="s">
        <v>947</v>
      </c>
    </row>
    <row r="335" spans="1:2" ht="16.5">
      <c r="A335" s="1938" t="s">
        <v>167</v>
      </c>
      <c r="B335" s="247" t="s">
        <v>948</v>
      </c>
    </row>
    <row r="336" spans="1:2" ht="16.5">
      <c r="A336" s="1938" t="s">
        <v>168</v>
      </c>
      <c r="B336" s="247" t="s">
        <v>949</v>
      </c>
    </row>
    <row r="337" spans="1:2" ht="16.5">
      <c r="A337" s="1938" t="s">
        <v>169</v>
      </c>
      <c r="B337" s="247" t="s">
        <v>1445</v>
      </c>
    </row>
    <row r="338" spans="1:2" ht="16.5">
      <c r="A338" s="1936" t="s">
        <v>170</v>
      </c>
      <c r="B338" s="247" t="s">
        <v>2186</v>
      </c>
    </row>
    <row r="339" spans="1:2" ht="16.5">
      <c r="A339" s="1936" t="s">
        <v>171</v>
      </c>
      <c r="B339" s="243" t="s">
        <v>950</v>
      </c>
    </row>
    <row r="340" spans="1:2" ht="16.5">
      <c r="A340" s="1936" t="s">
        <v>172</v>
      </c>
      <c r="B340" s="243" t="s">
        <v>1446</v>
      </c>
    </row>
    <row r="341" spans="1:2" ht="16.5">
      <c r="A341" s="1936" t="s">
        <v>173</v>
      </c>
      <c r="B341" s="243" t="s">
        <v>951</v>
      </c>
    </row>
    <row r="342" spans="1:2" ht="16.5">
      <c r="A342" s="1936" t="s">
        <v>174</v>
      </c>
      <c r="B342" s="243" t="s">
        <v>952</v>
      </c>
    </row>
    <row r="343" spans="1:2" ht="16.5">
      <c r="A343" s="1936" t="s">
        <v>175</v>
      </c>
      <c r="B343" s="243" t="s">
        <v>953</v>
      </c>
    </row>
    <row r="344" spans="1:2" ht="16.5">
      <c r="A344" s="1936" t="s">
        <v>176</v>
      </c>
      <c r="B344" s="247" t="s">
        <v>954</v>
      </c>
    </row>
    <row r="345" spans="1:2" ht="16.5">
      <c r="A345" s="1936" t="s">
        <v>177</v>
      </c>
      <c r="B345" s="247" t="s">
        <v>955</v>
      </c>
    </row>
    <row r="346" spans="1:2" ht="16.5">
      <c r="A346" s="1936" t="s">
        <v>178</v>
      </c>
      <c r="B346" s="247" t="s">
        <v>1435</v>
      </c>
    </row>
    <row r="347" spans="1:2" ht="16.5">
      <c r="A347" s="1936" t="s">
        <v>179</v>
      </c>
      <c r="B347" s="243" t="s">
        <v>956</v>
      </c>
    </row>
    <row r="348" spans="1:2" ht="16.5">
      <c r="A348" s="1936" t="s">
        <v>180</v>
      </c>
      <c r="B348" s="243" t="s">
        <v>957</v>
      </c>
    </row>
    <row r="349" spans="1:2" ht="16.5">
      <c r="A349" s="1936" t="s">
        <v>181</v>
      </c>
      <c r="B349" s="247" t="s">
        <v>958</v>
      </c>
    </row>
    <row r="350" spans="1:2" ht="16.5">
      <c r="A350" s="1936" t="s">
        <v>182</v>
      </c>
      <c r="B350" s="243" t="s">
        <v>959</v>
      </c>
    </row>
    <row r="351" spans="1:2" ht="16.5">
      <c r="A351" s="1936" t="s">
        <v>183</v>
      </c>
      <c r="B351" s="243" t="s">
        <v>960</v>
      </c>
    </row>
    <row r="352" spans="1:2" ht="16.5">
      <c r="A352" s="1936" t="s">
        <v>184</v>
      </c>
      <c r="B352" s="243" t="s">
        <v>961</v>
      </c>
    </row>
    <row r="353" spans="1:2" ht="16.5">
      <c r="A353" s="1936" t="s">
        <v>185</v>
      </c>
      <c r="B353" s="243" t="s">
        <v>962</v>
      </c>
    </row>
    <row r="354" spans="1:2" ht="16.5">
      <c r="A354" s="1936" t="s">
        <v>186</v>
      </c>
      <c r="B354" s="243" t="s">
        <v>1238</v>
      </c>
    </row>
    <row r="355" spans="1:2" ht="16.5">
      <c r="A355" s="1936" t="s">
        <v>2137</v>
      </c>
      <c r="B355" s="243" t="s">
        <v>2138</v>
      </c>
    </row>
    <row r="356" spans="1:2" ht="16.5">
      <c r="A356" s="1936" t="s">
        <v>187</v>
      </c>
      <c r="B356" s="243" t="s">
        <v>963</v>
      </c>
    </row>
    <row r="357" spans="1:2" ht="16.5">
      <c r="A357" s="1936" t="s">
        <v>188</v>
      </c>
      <c r="B357" s="243" t="s">
        <v>964</v>
      </c>
    </row>
    <row r="358" spans="1:2" ht="16.5">
      <c r="A358" s="1939" t="s">
        <v>189</v>
      </c>
      <c r="B358" s="248" t="s">
        <v>965</v>
      </c>
    </row>
    <row r="359" spans="1:2" s="218" customFormat="1" ht="16.5">
      <c r="A359" s="1940" t="s">
        <v>190</v>
      </c>
      <c r="B359" s="249" t="s">
        <v>966</v>
      </c>
    </row>
    <row r="360" spans="1:2" s="218" customFormat="1" ht="16.5">
      <c r="A360" s="1940" t="s">
        <v>191</v>
      </c>
      <c r="B360" s="249" t="s">
        <v>967</v>
      </c>
    </row>
    <row r="361" spans="1:2" s="218" customFormat="1" ht="16.5">
      <c r="A361" s="1940" t="s">
        <v>192</v>
      </c>
      <c r="B361" s="249" t="s">
        <v>968</v>
      </c>
    </row>
    <row r="362" spans="1:3" ht="17.25" thickBot="1">
      <c r="A362" s="1941" t="s">
        <v>193</v>
      </c>
      <c r="B362" s="250" t="s">
        <v>969</v>
      </c>
      <c r="C362" s="218"/>
    </row>
    <row r="363" spans="1:256" ht="18">
      <c r="A363" s="1822"/>
      <c r="B363" s="251" t="s">
        <v>1221</v>
      </c>
      <c r="C363" s="218"/>
      <c r="D363" s="238"/>
      <c r="E363" s="238"/>
      <c r="F363" s="238"/>
      <c r="G363" s="238"/>
      <c r="H363" s="238"/>
      <c r="I363" s="238"/>
      <c r="J363" s="238"/>
      <c r="K363" s="238"/>
      <c r="L363" s="238"/>
      <c r="M363" s="238"/>
      <c r="N363" s="238"/>
      <c r="O363" s="238"/>
      <c r="P363" s="238"/>
      <c r="Q363" s="238"/>
      <c r="R363" s="238"/>
      <c r="S363" s="238"/>
      <c r="T363" s="238"/>
      <c r="U363" s="238"/>
      <c r="V363" s="238"/>
      <c r="W363" s="238"/>
      <c r="X363" s="238"/>
      <c r="Y363" s="238"/>
      <c r="Z363" s="238"/>
      <c r="AA363" s="238"/>
      <c r="AB363" s="238"/>
      <c r="AC363" s="238"/>
      <c r="AD363" s="238"/>
      <c r="AE363" s="238"/>
      <c r="AF363" s="238"/>
      <c r="AG363" s="238"/>
      <c r="AH363" s="238"/>
      <c r="AI363" s="238"/>
      <c r="AJ363" s="238"/>
      <c r="AK363" s="238"/>
      <c r="AL363" s="238"/>
      <c r="AM363" s="238"/>
      <c r="AN363" s="238"/>
      <c r="AO363" s="238"/>
      <c r="AP363" s="238"/>
      <c r="AQ363" s="238"/>
      <c r="AR363" s="238"/>
      <c r="AS363" s="238"/>
      <c r="AT363" s="238"/>
      <c r="AU363" s="238"/>
      <c r="AV363" s="238"/>
      <c r="AW363" s="238"/>
      <c r="AX363" s="238"/>
      <c r="AY363" s="238"/>
      <c r="AZ363" s="238"/>
      <c r="BA363" s="238"/>
      <c r="BB363" s="238"/>
      <c r="BC363" s="238"/>
      <c r="BD363" s="238"/>
      <c r="BE363" s="238"/>
      <c r="BF363" s="238"/>
      <c r="BG363" s="238"/>
      <c r="BH363" s="238"/>
      <c r="BI363" s="238"/>
      <c r="BJ363" s="238"/>
      <c r="BK363" s="238"/>
      <c r="BL363" s="238"/>
      <c r="BM363" s="238"/>
      <c r="BN363" s="238"/>
      <c r="BO363" s="238"/>
      <c r="BP363" s="238"/>
      <c r="BQ363" s="238"/>
      <c r="BR363" s="238"/>
      <c r="BS363" s="238"/>
      <c r="BT363" s="238"/>
      <c r="BU363" s="238"/>
      <c r="BV363" s="238"/>
      <c r="BW363" s="238"/>
      <c r="BX363" s="238"/>
      <c r="BY363" s="238"/>
      <c r="BZ363" s="238"/>
      <c r="CA363" s="238"/>
      <c r="CB363" s="238"/>
      <c r="CC363" s="238"/>
      <c r="CD363" s="238"/>
      <c r="CE363" s="238"/>
      <c r="CF363" s="238"/>
      <c r="CG363" s="238"/>
      <c r="CH363" s="238"/>
      <c r="CI363" s="238"/>
      <c r="CJ363" s="238"/>
      <c r="CK363" s="238"/>
      <c r="CL363" s="238"/>
      <c r="CM363" s="238"/>
      <c r="CN363" s="238"/>
      <c r="CO363" s="238"/>
      <c r="CP363" s="238"/>
      <c r="CQ363" s="238"/>
      <c r="CR363" s="238"/>
      <c r="CS363" s="238"/>
      <c r="CT363" s="238"/>
      <c r="CU363" s="238"/>
      <c r="CV363" s="238"/>
      <c r="CW363" s="238"/>
      <c r="CX363" s="238"/>
      <c r="CY363" s="238"/>
      <c r="CZ363" s="238"/>
      <c r="DA363" s="238"/>
      <c r="DB363" s="238"/>
      <c r="DC363" s="238"/>
      <c r="DD363" s="238"/>
      <c r="DE363" s="238"/>
      <c r="DF363" s="238"/>
      <c r="DG363" s="238"/>
      <c r="DH363" s="238"/>
      <c r="DI363" s="238"/>
      <c r="DJ363" s="238"/>
      <c r="DK363" s="238"/>
      <c r="DL363" s="238"/>
      <c r="DM363" s="238"/>
      <c r="DN363" s="238"/>
      <c r="DO363" s="238"/>
      <c r="DP363" s="238"/>
      <c r="DQ363" s="238"/>
      <c r="DR363" s="238"/>
      <c r="DS363" s="238"/>
      <c r="DT363" s="238"/>
      <c r="DU363" s="238"/>
      <c r="DV363" s="238"/>
      <c r="DW363" s="238"/>
      <c r="DX363" s="238"/>
      <c r="DY363" s="238"/>
      <c r="DZ363" s="238"/>
      <c r="EA363" s="238"/>
      <c r="EB363" s="238"/>
      <c r="EC363" s="238"/>
      <c r="ED363" s="238"/>
      <c r="EE363" s="238"/>
      <c r="EF363" s="238"/>
      <c r="EG363" s="238"/>
      <c r="EH363" s="238"/>
      <c r="EI363" s="238"/>
      <c r="EJ363" s="238"/>
      <c r="EK363" s="238"/>
      <c r="EL363" s="238"/>
      <c r="EM363" s="238"/>
      <c r="EN363" s="238"/>
      <c r="EO363" s="238"/>
      <c r="EP363" s="238"/>
      <c r="EQ363" s="238"/>
      <c r="ER363" s="238"/>
      <c r="ES363" s="238"/>
      <c r="ET363" s="238"/>
      <c r="EU363" s="238"/>
      <c r="EV363" s="238"/>
      <c r="EW363" s="238"/>
      <c r="EX363" s="238"/>
      <c r="EY363" s="238"/>
      <c r="EZ363" s="238"/>
      <c r="FA363" s="238"/>
      <c r="FB363" s="238"/>
      <c r="FC363" s="238"/>
      <c r="FD363" s="238"/>
      <c r="FE363" s="238"/>
      <c r="FF363" s="238"/>
      <c r="FG363" s="238"/>
      <c r="FH363" s="238"/>
      <c r="FI363" s="238"/>
      <c r="FJ363" s="238"/>
      <c r="FK363" s="238"/>
      <c r="FL363" s="238"/>
      <c r="FM363" s="238"/>
      <c r="FN363" s="238"/>
      <c r="FO363" s="238"/>
      <c r="FP363" s="238"/>
      <c r="FQ363" s="238"/>
      <c r="FR363" s="238"/>
      <c r="FS363" s="238"/>
      <c r="FT363" s="238"/>
      <c r="FU363" s="238"/>
      <c r="FV363" s="238"/>
      <c r="FW363" s="238"/>
      <c r="FX363" s="238"/>
      <c r="FY363" s="238"/>
      <c r="FZ363" s="238"/>
      <c r="GA363" s="238"/>
      <c r="GB363" s="238"/>
      <c r="GC363" s="238"/>
      <c r="GD363" s="238"/>
      <c r="GE363" s="238"/>
      <c r="GF363" s="238"/>
      <c r="GG363" s="238"/>
      <c r="GH363" s="238"/>
      <c r="GI363" s="238"/>
      <c r="GJ363" s="238"/>
      <c r="GK363" s="238"/>
      <c r="GL363" s="238"/>
      <c r="GM363" s="238"/>
      <c r="GN363" s="238"/>
      <c r="GO363" s="238"/>
      <c r="GP363" s="238"/>
      <c r="GQ363" s="238"/>
      <c r="GR363" s="238"/>
      <c r="GS363" s="238"/>
      <c r="GT363" s="238"/>
      <c r="GU363" s="238"/>
      <c r="GV363" s="238"/>
      <c r="GW363" s="238"/>
      <c r="GX363" s="238"/>
      <c r="GY363" s="238"/>
      <c r="GZ363" s="238"/>
      <c r="HA363" s="238"/>
      <c r="HB363" s="238"/>
      <c r="HC363" s="238"/>
      <c r="HD363" s="238"/>
      <c r="HE363" s="238"/>
      <c r="HF363" s="238"/>
      <c r="HG363" s="238"/>
      <c r="HH363" s="238"/>
      <c r="HI363" s="238"/>
      <c r="HJ363" s="238"/>
      <c r="HK363" s="238"/>
      <c r="HL363" s="238"/>
      <c r="HM363" s="238"/>
      <c r="HN363" s="238"/>
      <c r="HO363" s="238"/>
      <c r="HP363" s="238"/>
      <c r="HQ363" s="238"/>
      <c r="HR363" s="238"/>
      <c r="HS363" s="238"/>
      <c r="HT363" s="238"/>
      <c r="HU363" s="238"/>
      <c r="HV363" s="238"/>
      <c r="HW363" s="238"/>
      <c r="HX363" s="238"/>
      <c r="HY363" s="238"/>
      <c r="HZ363" s="238"/>
      <c r="IA363" s="238"/>
      <c r="IB363" s="238"/>
      <c r="IC363" s="238"/>
      <c r="ID363" s="238"/>
      <c r="IE363" s="238"/>
      <c r="IF363" s="238"/>
      <c r="IG363" s="238"/>
      <c r="IH363" s="238"/>
      <c r="II363" s="238"/>
      <c r="IJ363" s="238"/>
      <c r="IK363" s="238"/>
      <c r="IL363" s="238"/>
      <c r="IM363" s="238"/>
      <c r="IN363" s="238"/>
      <c r="IO363" s="238"/>
      <c r="IP363" s="238"/>
      <c r="IQ363" s="238"/>
      <c r="IR363" s="238"/>
      <c r="IS363" s="238"/>
      <c r="IT363" s="238"/>
      <c r="IU363" s="238"/>
      <c r="IV363" s="238"/>
    </row>
    <row r="364" spans="1:3" ht="18">
      <c r="A364" s="1823"/>
      <c r="B364" s="252" t="s">
        <v>970</v>
      </c>
      <c r="C364" s="218"/>
    </row>
    <row r="365" spans="1:3" ht="18">
      <c r="A365" s="1823"/>
      <c r="B365" s="253" t="s">
        <v>971</v>
      </c>
      <c r="C365" s="218"/>
    </row>
    <row r="366" spans="1:3" ht="18">
      <c r="A366" s="1942" t="s">
        <v>194</v>
      </c>
      <c r="B366" s="254" t="s">
        <v>972</v>
      </c>
      <c r="C366" s="218"/>
    </row>
    <row r="367" spans="1:2" ht="18">
      <c r="A367" s="1942" t="s">
        <v>195</v>
      </c>
      <c r="B367" s="255" t="s">
        <v>973</v>
      </c>
    </row>
    <row r="368" spans="1:2" ht="18">
      <c r="A368" s="1942" t="s">
        <v>196</v>
      </c>
      <c r="B368" s="256" t="s">
        <v>974</v>
      </c>
    </row>
    <row r="369" spans="1:2" ht="18">
      <c r="A369" s="1942" t="s">
        <v>197</v>
      </c>
      <c r="B369" s="256" t="s">
        <v>975</v>
      </c>
    </row>
    <row r="370" spans="1:2" ht="18">
      <c r="A370" s="1942" t="s">
        <v>198</v>
      </c>
      <c r="B370" s="256" t="s">
        <v>612</v>
      </c>
    </row>
    <row r="371" spans="1:2" ht="18">
      <c r="A371" s="1942" t="s">
        <v>199</v>
      </c>
      <c r="B371" s="256" t="s">
        <v>613</v>
      </c>
    </row>
    <row r="372" spans="1:2" ht="18">
      <c r="A372" s="1942" t="s">
        <v>200</v>
      </c>
      <c r="B372" s="256" t="s">
        <v>614</v>
      </c>
    </row>
    <row r="373" spans="1:2" ht="18">
      <c r="A373" s="1942" t="s">
        <v>201</v>
      </c>
      <c r="B373" s="257" t="s">
        <v>615</v>
      </c>
    </row>
    <row r="374" spans="1:2" ht="18">
      <c r="A374" s="1942"/>
      <c r="B374" s="257"/>
    </row>
    <row r="375" spans="1:2" ht="18">
      <c r="A375" s="1942" t="s">
        <v>202</v>
      </c>
      <c r="B375" s="257" t="s">
        <v>616</v>
      </c>
    </row>
    <row r="376" spans="1:2" ht="18">
      <c r="A376" s="1942" t="s">
        <v>203</v>
      </c>
      <c r="B376" s="257" t="s">
        <v>617</v>
      </c>
    </row>
    <row r="377" spans="1:2" ht="18">
      <c r="A377" s="1942" t="s">
        <v>204</v>
      </c>
      <c r="B377" s="258" t="s">
        <v>618</v>
      </c>
    </row>
    <row r="378" spans="1:2" ht="18">
      <c r="A378" s="1942" t="s">
        <v>205</v>
      </c>
      <c r="B378" s="258" t="s">
        <v>619</v>
      </c>
    </row>
    <row r="379" spans="1:2" ht="18">
      <c r="A379" s="1942" t="s">
        <v>206</v>
      </c>
      <c r="B379" s="257" t="s">
        <v>620</v>
      </c>
    </row>
    <row r="380" spans="1:5" ht="18">
      <c r="A380" s="1942" t="s">
        <v>207</v>
      </c>
      <c r="B380" s="257" t="s">
        <v>621</v>
      </c>
      <c r="C380" s="219" t="s">
        <v>622</v>
      </c>
      <c r="D380" s="220"/>
      <c r="E380" s="221"/>
    </row>
    <row r="381" spans="1:5" ht="18">
      <c r="A381" s="1942" t="s">
        <v>208</v>
      </c>
      <c r="B381" s="256" t="s">
        <v>623</v>
      </c>
      <c r="C381" s="219" t="s">
        <v>622</v>
      </c>
      <c r="D381" s="220"/>
      <c r="E381" s="221"/>
    </row>
    <row r="382" spans="1:5" ht="18">
      <c r="A382" s="1942" t="s">
        <v>209</v>
      </c>
      <c r="B382" s="257" t="s">
        <v>624</v>
      </c>
      <c r="C382" s="219" t="s">
        <v>622</v>
      </c>
      <c r="D382" s="220"/>
      <c r="E382" s="221"/>
    </row>
    <row r="383" spans="1:5" ht="18">
      <c r="A383" s="1942" t="s">
        <v>210</v>
      </c>
      <c r="B383" s="257" t="s">
        <v>625</v>
      </c>
      <c r="C383" s="219" t="s">
        <v>622</v>
      </c>
      <c r="D383" s="220"/>
      <c r="E383" s="221"/>
    </row>
    <row r="384" spans="1:5" ht="18">
      <c r="A384" s="1942" t="s">
        <v>211</v>
      </c>
      <c r="B384" s="257" t="s">
        <v>626</v>
      </c>
      <c r="C384" s="219" t="s">
        <v>622</v>
      </c>
      <c r="D384" s="220"/>
      <c r="E384" s="221"/>
    </row>
    <row r="385" spans="1:5" ht="18">
      <c r="A385" s="1942" t="s">
        <v>212</v>
      </c>
      <c r="B385" s="257" t="s">
        <v>627</v>
      </c>
      <c r="C385" s="219" t="s">
        <v>622</v>
      </c>
      <c r="D385" s="220"/>
      <c r="E385" s="221"/>
    </row>
    <row r="386" spans="1:5" ht="18">
      <c r="A386" s="1942" t="s">
        <v>213</v>
      </c>
      <c r="B386" s="257" t="s">
        <v>628</v>
      </c>
      <c r="C386" s="219" t="s">
        <v>622</v>
      </c>
      <c r="D386" s="220"/>
      <c r="E386" s="221"/>
    </row>
    <row r="387" spans="1:5" ht="18">
      <c r="A387" s="1942"/>
      <c r="B387" s="257"/>
      <c r="C387" s="219"/>
      <c r="D387" s="220"/>
      <c r="E387" s="221"/>
    </row>
    <row r="388" spans="1:5" ht="18">
      <c r="A388" s="1942" t="s">
        <v>214</v>
      </c>
      <c r="B388" s="257" t="s">
        <v>629</v>
      </c>
      <c r="C388" s="219" t="s">
        <v>622</v>
      </c>
      <c r="D388" s="220"/>
      <c r="E388" s="221"/>
    </row>
    <row r="389" spans="1:5" ht="18">
      <c r="A389" s="1942" t="s">
        <v>215</v>
      </c>
      <c r="B389" s="256" t="s">
        <v>630</v>
      </c>
      <c r="C389" s="219" t="s">
        <v>622</v>
      </c>
      <c r="D389" s="220"/>
      <c r="E389" s="221"/>
    </row>
    <row r="390" spans="1:5" ht="18">
      <c r="A390" s="1942" t="s">
        <v>216</v>
      </c>
      <c r="B390" s="257" t="s">
        <v>631</v>
      </c>
      <c r="C390" s="219" t="s">
        <v>622</v>
      </c>
      <c r="D390" s="220"/>
      <c r="E390" s="221"/>
    </row>
    <row r="391" spans="1:5" ht="18">
      <c r="A391" s="1942" t="s">
        <v>217</v>
      </c>
      <c r="B391" s="256" t="s">
        <v>632</v>
      </c>
      <c r="C391" s="219" t="s">
        <v>622</v>
      </c>
      <c r="D391" s="220"/>
      <c r="E391" s="221"/>
    </row>
    <row r="392" spans="1:5" ht="18">
      <c r="A392" s="1942" t="s">
        <v>218</v>
      </c>
      <c r="B392" s="256" t="s">
        <v>633</v>
      </c>
      <c r="C392" s="219" t="s">
        <v>622</v>
      </c>
      <c r="D392" s="220"/>
      <c r="E392" s="221"/>
    </row>
    <row r="393" spans="1:5" ht="18">
      <c r="A393" s="1942" t="s">
        <v>219</v>
      </c>
      <c r="B393" s="256" t="s">
        <v>634</v>
      </c>
      <c r="C393" s="219" t="s">
        <v>622</v>
      </c>
      <c r="D393" s="220"/>
      <c r="E393" s="221"/>
    </row>
    <row r="394" spans="1:5" ht="18">
      <c r="A394" s="1942" t="s">
        <v>220</v>
      </c>
      <c r="B394" s="256" t="s">
        <v>635</v>
      </c>
      <c r="C394" s="219" t="s">
        <v>622</v>
      </c>
      <c r="D394" s="220"/>
      <c r="E394" s="221"/>
    </row>
    <row r="395" spans="1:5" ht="18">
      <c r="A395" s="1942" t="s">
        <v>221</v>
      </c>
      <c r="B395" s="256" t="s">
        <v>636</v>
      </c>
      <c r="C395" s="219" t="s">
        <v>622</v>
      </c>
      <c r="D395" s="220"/>
      <c r="E395" s="221"/>
    </row>
    <row r="396" spans="1:5" ht="18">
      <c r="A396" s="1942" t="s">
        <v>222</v>
      </c>
      <c r="B396" s="256" t="s">
        <v>637</v>
      </c>
      <c r="C396" s="219" t="s">
        <v>622</v>
      </c>
      <c r="D396" s="220"/>
      <c r="E396" s="221"/>
    </row>
    <row r="397" spans="1:5" ht="18">
      <c r="A397" s="1942" t="s">
        <v>223</v>
      </c>
      <c r="B397" s="256" t="s">
        <v>638</v>
      </c>
      <c r="C397" s="219" t="s">
        <v>622</v>
      </c>
      <c r="D397" s="220"/>
      <c r="E397" s="221"/>
    </row>
    <row r="398" spans="1:5" ht="18">
      <c r="A398" s="1942" t="s">
        <v>224</v>
      </c>
      <c r="B398" s="256" t="s">
        <v>639</v>
      </c>
      <c r="C398" s="219" t="s">
        <v>622</v>
      </c>
      <c r="D398" s="220"/>
      <c r="E398" s="221"/>
    </row>
    <row r="399" spans="1:5" ht="18">
      <c r="A399" s="1942" t="s">
        <v>225</v>
      </c>
      <c r="B399" s="259" t="s">
        <v>640</v>
      </c>
      <c r="C399" s="219" t="s">
        <v>622</v>
      </c>
      <c r="D399" s="220"/>
      <c r="E399" s="221"/>
    </row>
    <row r="400" spans="1:5" ht="18">
      <c r="A400" s="1942" t="s">
        <v>226</v>
      </c>
      <c r="B400" s="1529" t="s">
        <v>1437</v>
      </c>
      <c r="C400" s="219" t="s">
        <v>622</v>
      </c>
      <c r="D400" s="220"/>
      <c r="E400" s="221"/>
    </row>
    <row r="401" spans="1:5" ht="18">
      <c r="A401" s="1943" t="s">
        <v>227</v>
      </c>
      <c r="B401" s="260" t="s">
        <v>641</v>
      </c>
      <c r="C401" s="219" t="s">
        <v>622</v>
      </c>
      <c r="D401" s="222"/>
      <c r="E401" s="221"/>
    </row>
    <row r="402" spans="1:5" ht="18">
      <c r="A402" s="1823" t="s">
        <v>622</v>
      </c>
      <c r="B402" s="261" t="s">
        <v>642</v>
      </c>
      <c r="C402" s="219" t="s">
        <v>622</v>
      </c>
      <c r="D402" s="223"/>
      <c r="E402" s="221"/>
    </row>
    <row r="403" spans="1:5" ht="18">
      <c r="A403" s="1907" t="s">
        <v>228</v>
      </c>
      <c r="B403" s="262" t="s">
        <v>643</v>
      </c>
      <c r="C403" s="219" t="s">
        <v>622</v>
      </c>
      <c r="D403" s="220"/>
      <c r="E403" s="221"/>
    </row>
    <row r="404" spans="1:5" ht="18">
      <c r="A404" s="1908" t="s">
        <v>229</v>
      </c>
      <c r="B404" s="247" t="s">
        <v>644</v>
      </c>
      <c r="C404" s="219" t="s">
        <v>622</v>
      </c>
      <c r="D404" s="220"/>
      <c r="E404" s="221"/>
    </row>
    <row r="405" spans="1:5" ht="18">
      <c r="A405" s="1944" t="s">
        <v>230</v>
      </c>
      <c r="B405" s="263" t="s">
        <v>645</v>
      </c>
      <c r="C405" s="219" t="s">
        <v>622</v>
      </c>
      <c r="D405" s="220"/>
      <c r="E405" s="221"/>
    </row>
    <row r="406" spans="1:5" ht="18">
      <c r="A406" s="1909" t="s">
        <v>622</v>
      </c>
      <c r="B406" s="264" t="s">
        <v>646</v>
      </c>
      <c r="C406" s="219" t="s">
        <v>622</v>
      </c>
      <c r="D406" s="224"/>
      <c r="E406" s="221"/>
    </row>
    <row r="407" spans="1:5" ht="16.5">
      <c r="A407" s="1905" t="s">
        <v>183</v>
      </c>
      <c r="B407" s="243" t="s">
        <v>960</v>
      </c>
      <c r="C407" s="219" t="s">
        <v>622</v>
      </c>
      <c r="D407" s="225"/>
      <c r="E407" s="221"/>
    </row>
    <row r="408" spans="1:5" ht="16.5">
      <c r="A408" s="1905" t="s">
        <v>184</v>
      </c>
      <c r="B408" s="243" t="s">
        <v>961</v>
      </c>
      <c r="C408" s="219" t="s">
        <v>622</v>
      </c>
      <c r="D408" s="225"/>
      <c r="E408" s="221"/>
    </row>
    <row r="409" spans="1:5" ht="16.5">
      <c r="A409" s="1945" t="s">
        <v>185</v>
      </c>
      <c r="B409" s="265" t="s">
        <v>962</v>
      </c>
      <c r="C409" s="219" t="s">
        <v>622</v>
      </c>
      <c r="D409" s="225"/>
      <c r="E409" s="221"/>
    </row>
    <row r="410" spans="1:5" ht="18">
      <c r="A410" s="1823" t="s">
        <v>622</v>
      </c>
      <c r="B410" s="264" t="s">
        <v>647</v>
      </c>
      <c r="C410" s="219" t="s">
        <v>622</v>
      </c>
      <c r="D410" s="224"/>
      <c r="E410" s="221"/>
    </row>
    <row r="411" spans="1:5" ht="18">
      <c r="A411" s="1907" t="s">
        <v>231</v>
      </c>
      <c r="B411" s="262" t="s">
        <v>1447</v>
      </c>
      <c r="C411" s="219" t="s">
        <v>622</v>
      </c>
      <c r="D411" s="220"/>
      <c r="E411" s="221"/>
    </row>
    <row r="412" spans="1:5" ht="18">
      <c r="A412" s="1907" t="s">
        <v>232</v>
      </c>
      <c r="B412" s="262" t="s">
        <v>1448</v>
      </c>
      <c r="C412" s="219" t="s">
        <v>622</v>
      </c>
      <c r="D412" s="220"/>
      <c r="E412" s="221"/>
    </row>
    <row r="413" spans="1:5" ht="18">
      <c r="A413" s="1907" t="s">
        <v>233</v>
      </c>
      <c r="B413" s="262" t="s">
        <v>2129</v>
      </c>
      <c r="C413" s="219" t="s">
        <v>622</v>
      </c>
      <c r="D413" s="220"/>
      <c r="E413" s="221"/>
    </row>
    <row r="414" spans="1:5" ht="18.75" thickBot="1">
      <c r="A414" s="2026" t="s">
        <v>2173</v>
      </c>
      <c r="B414" s="266" t="s">
        <v>2181</v>
      </c>
      <c r="C414" s="219" t="s">
        <v>622</v>
      </c>
      <c r="D414" s="226"/>
      <c r="E414" s="221"/>
    </row>
    <row r="415" spans="1:5" ht="18.75" thickBot="1">
      <c r="A415" s="1946" t="s">
        <v>234</v>
      </c>
      <c r="B415" s="266" t="s">
        <v>1436</v>
      </c>
      <c r="C415" s="219" t="s">
        <v>622</v>
      </c>
      <c r="D415" s="226"/>
      <c r="E415" s="221"/>
    </row>
    <row r="416" spans="1:5" ht="16.5">
      <c r="A416" s="1946" t="s">
        <v>235</v>
      </c>
      <c r="B416" s="267" t="s">
        <v>1017</v>
      </c>
      <c r="C416" s="219" t="s">
        <v>622</v>
      </c>
      <c r="D416" s="225"/>
      <c r="E416" s="221"/>
    </row>
    <row r="417" spans="1:5" ht="17.25" thickBot="1">
      <c r="A417" s="1905" t="s">
        <v>236</v>
      </c>
      <c r="B417" s="243" t="s">
        <v>1018</v>
      </c>
      <c r="C417" s="219" t="s">
        <v>622</v>
      </c>
      <c r="D417" s="227"/>
      <c r="E417" s="221"/>
    </row>
    <row r="418" spans="1:5" s="239" customFormat="1" ht="18.75" thickBot="1">
      <c r="A418" s="1905" t="s">
        <v>2157</v>
      </c>
      <c r="B418" s="268" t="s">
        <v>2158</v>
      </c>
      <c r="C418" s="1989" t="s">
        <v>622</v>
      </c>
      <c r="D418" s="1990"/>
      <c r="E418" s="1991"/>
    </row>
    <row r="419" spans="1:5" s="239" customFormat="1" ht="18.75" thickBot="1">
      <c r="A419" s="1905" t="s">
        <v>2161</v>
      </c>
      <c r="B419" s="268" t="s">
        <v>2187</v>
      </c>
      <c r="C419" s="1989"/>
      <c r="D419" s="1990"/>
      <c r="E419" s="1991"/>
    </row>
    <row r="420" spans="1:5" ht="16.5">
      <c r="A420" s="1904" t="s">
        <v>237</v>
      </c>
      <c r="B420" s="268" t="s">
        <v>1019</v>
      </c>
      <c r="C420" s="219" t="s">
        <v>622</v>
      </c>
      <c r="D420" s="227"/>
      <c r="E420" s="221"/>
    </row>
    <row r="421" spans="1:5" ht="16.5">
      <c r="A421" s="1947" t="s">
        <v>238</v>
      </c>
      <c r="B421" s="243" t="s">
        <v>1020</v>
      </c>
      <c r="C421" s="219" t="s">
        <v>622</v>
      </c>
      <c r="D421" s="229"/>
      <c r="E421" s="221"/>
    </row>
    <row r="422" spans="1:5" ht="16.5">
      <c r="A422" s="1905" t="s">
        <v>239</v>
      </c>
      <c r="B422" s="245" t="s">
        <v>1021</v>
      </c>
      <c r="C422" s="219" t="s">
        <v>622</v>
      </c>
      <c r="D422" s="227"/>
      <c r="E422" s="221"/>
    </row>
    <row r="423" spans="1:5" ht="17.25" thickBot="1">
      <c r="A423" s="1906" t="s">
        <v>240</v>
      </c>
      <c r="B423" s="269" t="s">
        <v>1022</v>
      </c>
      <c r="C423" s="219" t="s">
        <v>622</v>
      </c>
      <c r="D423" s="227"/>
      <c r="E423" s="221"/>
    </row>
    <row r="424" spans="1:5" ht="18">
      <c r="A424" s="1942" t="s">
        <v>241</v>
      </c>
      <c r="B424" s="270" t="s">
        <v>1023</v>
      </c>
      <c r="C424" s="219" t="s">
        <v>622</v>
      </c>
      <c r="D424" s="230"/>
      <c r="E424" s="221"/>
    </row>
    <row r="425" spans="1:5" ht="18">
      <c r="A425" s="1942" t="s">
        <v>242</v>
      </c>
      <c r="B425" s="271" t="s">
        <v>1024</v>
      </c>
      <c r="C425" s="219" t="s">
        <v>622</v>
      </c>
      <c r="D425" s="230"/>
      <c r="E425" s="221"/>
    </row>
    <row r="426" spans="1:5" ht="18">
      <c r="A426" s="1942" t="s">
        <v>243</v>
      </c>
      <c r="B426" s="272" t="s">
        <v>1025</v>
      </c>
      <c r="C426" s="219" t="s">
        <v>622</v>
      </c>
      <c r="D426" s="230"/>
      <c r="E426" s="221"/>
    </row>
    <row r="427" spans="1:5" ht="18">
      <c r="A427" s="1942" t="s">
        <v>244</v>
      </c>
      <c r="B427" s="271" t="s">
        <v>1026</v>
      </c>
      <c r="C427" s="219" t="s">
        <v>622</v>
      </c>
      <c r="D427" s="230"/>
      <c r="E427" s="221"/>
    </row>
    <row r="428" spans="1:5" ht="18">
      <c r="A428" s="1942" t="s">
        <v>245</v>
      </c>
      <c r="B428" s="271" t="s">
        <v>1027</v>
      </c>
      <c r="C428" s="219" t="s">
        <v>622</v>
      </c>
      <c r="D428" s="230"/>
      <c r="E428" s="221"/>
    </row>
    <row r="429" spans="1:5" ht="18">
      <c r="A429" s="1942" t="s">
        <v>246</v>
      </c>
      <c r="B429" s="273" t="s">
        <v>1028</v>
      </c>
      <c r="C429" s="219" t="s">
        <v>622</v>
      </c>
      <c r="D429" s="230"/>
      <c r="E429" s="221"/>
    </row>
    <row r="430" spans="1:5" ht="18">
      <c r="A430" s="1942" t="s">
        <v>247</v>
      </c>
      <c r="B430" s="273" t="s">
        <v>1029</v>
      </c>
      <c r="C430" s="219" t="s">
        <v>622</v>
      </c>
      <c r="D430" s="230"/>
      <c r="E430" s="221"/>
    </row>
    <row r="431" spans="1:5" ht="18">
      <c r="A431" s="1942" t="s">
        <v>248</v>
      </c>
      <c r="B431" s="273" t="s">
        <v>1030</v>
      </c>
      <c r="C431" s="219" t="s">
        <v>622</v>
      </c>
      <c r="D431" s="231"/>
      <c r="E431" s="221"/>
    </row>
    <row r="432" spans="1:5" ht="18">
      <c r="A432" s="1942" t="s">
        <v>249</v>
      </c>
      <c r="B432" s="273" t="s">
        <v>1031</v>
      </c>
      <c r="C432" s="219" t="s">
        <v>622</v>
      </c>
      <c r="D432" s="231"/>
      <c r="E432" s="221"/>
    </row>
    <row r="433" spans="1:5" ht="18">
      <c r="A433" s="1942" t="s">
        <v>250</v>
      </c>
      <c r="B433" s="273" t="s">
        <v>663</v>
      </c>
      <c r="C433" s="219" t="s">
        <v>622</v>
      </c>
      <c r="D433" s="231"/>
      <c r="E433" s="221"/>
    </row>
    <row r="434" spans="1:5" ht="18">
      <c r="A434" s="1942" t="s">
        <v>251</v>
      </c>
      <c r="B434" s="271" t="s">
        <v>664</v>
      </c>
      <c r="C434" s="219" t="s">
        <v>622</v>
      </c>
      <c r="D434" s="231"/>
      <c r="E434" s="221"/>
    </row>
    <row r="435" spans="1:5" ht="18">
      <c r="A435" s="1942" t="s">
        <v>252</v>
      </c>
      <c r="B435" s="271" t="s">
        <v>665</v>
      </c>
      <c r="C435" s="219" t="s">
        <v>622</v>
      </c>
      <c r="D435" s="231"/>
      <c r="E435" s="221"/>
    </row>
    <row r="436" spans="1:5" ht="18">
      <c r="A436" s="1942" t="s">
        <v>253</v>
      </c>
      <c r="B436" s="271" t="s">
        <v>666</v>
      </c>
      <c r="C436" s="219" t="s">
        <v>622</v>
      </c>
      <c r="D436" s="231"/>
      <c r="E436" s="221"/>
    </row>
    <row r="437" spans="1:5" ht="18.75" thickBot="1">
      <c r="A437" s="1942" t="s">
        <v>254</v>
      </c>
      <c r="B437" s="274" t="s">
        <v>667</v>
      </c>
      <c r="C437" s="219" t="s">
        <v>622</v>
      </c>
      <c r="D437" s="231"/>
      <c r="E437" s="221"/>
    </row>
    <row r="438" spans="1:5" ht="18">
      <c r="A438" s="1942" t="s">
        <v>255</v>
      </c>
      <c r="B438" s="270" t="s">
        <v>668</v>
      </c>
      <c r="C438" s="219" t="s">
        <v>622</v>
      </c>
      <c r="D438" s="230"/>
      <c r="E438" s="221"/>
    </row>
    <row r="439" spans="1:5" ht="18">
      <c r="A439" s="1942" t="s">
        <v>256</v>
      </c>
      <c r="B439" s="272" t="s">
        <v>669</v>
      </c>
      <c r="C439" s="219" t="s">
        <v>622</v>
      </c>
      <c r="D439" s="231"/>
      <c r="E439" s="221"/>
    </row>
    <row r="440" spans="1:5" ht="18">
      <c r="A440" s="1942" t="s">
        <v>257</v>
      </c>
      <c r="B440" s="271" t="s">
        <v>670</v>
      </c>
      <c r="C440" s="219" t="s">
        <v>622</v>
      </c>
      <c r="D440" s="231"/>
      <c r="E440" s="221"/>
    </row>
    <row r="441" spans="1:5" ht="18">
      <c r="A441" s="1942" t="s">
        <v>258</v>
      </c>
      <c r="B441" s="271" t="s">
        <v>671</v>
      </c>
      <c r="C441" s="219" t="s">
        <v>622</v>
      </c>
      <c r="D441" s="231"/>
      <c r="E441" s="221"/>
    </row>
    <row r="442" spans="1:5" ht="18">
      <c r="A442" s="1942" t="s">
        <v>259</v>
      </c>
      <c r="B442" s="271" t="s">
        <v>672</v>
      </c>
      <c r="C442" s="219" t="s">
        <v>622</v>
      </c>
      <c r="D442" s="231"/>
      <c r="E442" s="221"/>
    </row>
    <row r="443" spans="1:5" ht="18">
      <c r="A443" s="1942" t="s">
        <v>260</v>
      </c>
      <c r="B443" s="271" t="s">
        <v>673</v>
      </c>
      <c r="C443" s="219" t="s">
        <v>622</v>
      </c>
      <c r="D443" s="231"/>
      <c r="E443" s="221"/>
    </row>
    <row r="444" spans="1:5" ht="18">
      <c r="A444" s="1942" t="s">
        <v>261</v>
      </c>
      <c r="B444" s="271" t="s">
        <v>674</v>
      </c>
      <c r="C444" s="219" t="s">
        <v>622</v>
      </c>
      <c r="D444" s="231"/>
      <c r="E444" s="221"/>
    </row>
    <row r="445" spans="1:5" ht="18">
      <c r="A445" s="1942" t="s">
        <v>262</v>
      </c>
      <c r="B445" s="271" t="s">
        <v>675</v>
      </c>
      <c r="C445" s="219" t="s">
        <v>622</v>
      </c>
      <c r="D445" s="231"/>
      <c r="E445" s="221"/>
    </row>
    <row r="446" spans="1:5" ht="18">
      <c r="A446" s="1942" t="s">
        <v>263</v>
      </c>
      <c r="B446" s="271" t="s">
        <v>676</v>
      </c>
      <c r="C446" s="219" t="s">
        <v>622</v>
      </c>
      <c r="D446" s="231"/>
      <c r="E446" s="221"/>
    </row>
    <row r="447" spans="1:5" ht="18">
      <c r="A447" s="1942" t="s">
        <v>264</v>
      </c>
      <c r="B447" s="271" t="s">
        <v>677</v>
      </c>
      <c r="C447" s="219" t="s">
        <v>622</v>
      </c>
      <c r="D447" s="231"/>
      <c r="E447" s="221"/>
    </row>
    <row r="448" spans="1:5" ht="18">
      <c r="A448" s="1942" t="s">
        <v>265</v>
      </c>
      <c r="B448" s="271" t="s">
        <v>678</v>
      </c>
      <c r="C448" s="219" t="s">
        <v>622</v>
      </c>
      <c r="D448" s="231"/>
      <c r="E448" s="221"/>
    </row>
    <row r="449" spans="1:5" ht="18">
      <c r="A449" s="1942" t="s">
        <v>266</v>
      </c>
      <c r="B449" s="271" t="s">
        <v>679</v>
      </c>
      <c r="C449" s="219" t="s">
        <v>622</v>
      </c>
      <c r="D449" s="231"/>
      <c r="E449" s="221"/>
    </row>
    <row r="450" spans="1:5" ht="18.75" thickBot="1">
      <c r="A450" s="1942" t="s">
        <v>267</v>
      </c>
      <c r="B450" s="274" t="s">
        <v>680</v>
      </c>
      <c r="C450" s="219" t="s">
        <v>622</v>
      </c>
      <c r="D450" s="231"/>
      <c r="E450" s="221"/>
    </row>
    <row r="451" spans="1:5" ht="18">
      <c r="A451" s="1942" t="s">
        <v>268</v>
      </c>
      <c r="B451" s="270" t="s">
        <v>681</v>
      </c>
      <c r="C451" s="219" t="s">
        <v>622</v>
      </c>
      <c r="D451" s="231"/>
      <c r="E451" s="221"/>
    </row>
    <row r="452" spans="1:5" ht="18">
      <c r="A452" s="1942" t="s">
        <v>269</v>
      </c>
      <c r="B452" s="271" t="s">
        <v>682</v>
      </c>
      <c r="C452" s="219" t="s">
        <v>622</v>
      </c>
      <c r="D452" s="231"/>
      <c r="E452" s="221"/>
    </row>
    <row r="453" spans="1:5" ht="18">
      <c r="A453" s="1942" t="s">
        <v>270</v>
      </c>
      <c r="B453" s="271" t="s">
        <v>683</v>
      </c>
      <c r="C453" s="219" t="s">
        <v>622</v>
      </c>
      <c r="D453" s="231"/>
      <c r="E453" s="221"/>
    </row>
    <row r="454" spans="1:5" ht="18">
      <c r="A454" s="1942" t="s">
        <v>271</v>
      </c>
      <c r="B454" s="271" t="s">
        <v>684</v>
      </c>
      <c r="C454" s="219" t="s">
        <v>622</v>
      </c>
      <c r="D454" s="231"/>
      <c r="E454" s="221"/>
    </row>
    <row r="455" spans="1:5" ht="18">
      <c r="A455" s="1942" t="s">
        <v>272</v>
      </c>
      <c r="B455" s="272" t="s">
        <v>685</v>
      </c>
      <c r="C455" s="219" t="s">
        <v>622</v>
      </c>
      <c r="D455" s="231"/>
      <c r="E455" s="221"/>
    </row>
    <row r="456" spans="1:5" ht="18">
      <c r="A456" s="1942" t="s">
        <v>273</v>
      </c>
      <c r="B456" s="271" t="s">
        <v>686</v>
      </c>
      <c r="C456" s="219" t="s">
        <v>622</v>
      </c>
      <c r="D456" s="231"/>
      <c r="E456" s="221"/>
    </row>
    <row r="457" spans="1:5" ht="18">
      <c r="A457" s="1942" t="s">
        <v>274</v>
      </c>
      <c r="B457" s="271" t="s">
        <v>687</v>
      </c>
      <c r="C457" s="219" t="s">
        <v>622</v>
      </c>
      <c r="D457" s="231"/>
      <c r="E457" s="221"/>
    </row>
    <row r="458" spans="1:5" ht="18">
      <c r="A458" s="1942" t="s">
        <v>275</v>
      </c>
      <c r="B458" s="271" t="s">
        <v>688</v>
      </c>
      <c r="C458" s="219" t="s">
        <v>622</v>
      </c>
      <c r="D458" s="231"/>
      <c r="E458" s="221"/>
    </row>
    <row r="459" spans="1:5" ht="18">
      <c r="A459" s="1942" t="s">
        <v>276</v>
      </c>
      <c r="B459" s="271" t="s">
        <v>689</v>
      </c>
      <c r="C459" s="219" t="s">
        <v>622</v>
      </c>
      <c r="D459" s="231"/>
      <c r="E459" s="221"/>
    </row>
    <row r="460" spans="1:5" ht="18">
      <c r="A460" s="1942" t="s">
        <v>277</v>
      </c>
      <c r="B460" s="271" t="s">
        <v>690</v>
      </c>
      <c r="C460" s="219" t="s">
        <v>622</v>
      </c>
      <c r="D460" s="231"/>
      <c r="E460" s="221"/>
    </row>
    <row r="461" spans="1:5" ht="18">
      <c r="A461" s="1942" t="s">
        <v>278</v>
      </c>
      <c r="B461" s="271" t="s">
        <v>691</v>
      </c>
      <c r="C461" s="219" t="s">
        <v>622</v>
      </c>
      <c r="D461" s="231"/>
      <c r="E461" s="221"/>
    </row>
    <row r="462" spans="1:5" ht="18.75" thickBot="1">
      <c r="A462" s="1942" t="s">
        <v>279</v>
      </c>
      <c r="B462" s="274" t="s">
        <v>692</v>
      </c>
      <c r="C462" s="219" t="s">
        <v>622</v>
      </c>
      <c r="D462" s="231"/>
      <c r="E462" s="221"/>
    </row>
    <row r="463" spans="1:5" ht="18">
      <c r="A463" s="1942" t="s">
        <v>280</v>
      </c>
      <c r="B463" s="275" t="s">
        <v>693</v>
      </c>
      <c r="C463" s="219" t="s">
        <v>622</v>
      </c>
      <c r="D463" s="231"/>
      <c r="E463" s="221"/>
    </row>
    <row r="464" spans="1:5" ht="18">
      <c r="A464" s="1942" t="s">
        <v>281</v>
      </c>
      <c r="B464" s="271" t="s">
        <v>694</v>
      </c>
      <c r="C464" s="219" t="s">
        <v>622</v>
      </c>
      <c r="D464" s="231"/>
      <c r="E464" s="221"/>
    </row>
    <row r="465" spans="1:5" ht="18">
      <c r="A465" s="1942" t="s">
        <v>282</v>
      </c>
      <c r="B465" s="271" t="s">
        <v>695</v>
      </c>
      <c r="C465" s="219" t="s">
        <v>622</v>
      </c>
      <c r="D465" s="231"/>
      <c r="E465" s="221"/>
    </row>
    <row r="466" spans="1:5" ht="18">
      <c r="A466" s="1942" t="s">
        <v>283</v>
      </c>
      <c r="B466" s="271" t="s">
        <v>696</v>
      </c>
      <c r="C466" s="219" t="s">
        <v>622</v>
      </c>
      <c r="D466" s="231"/>
      <c r="E466" s="221"/>
    </row>
    <row r="467" spans="1:5" ht="18">
      <c r="A467" s="1942" t="s">
        <v>284</v>
      </c>
      <c r="B467" s="271" t="s">
        <v>697</v>
      </c>
      <c r="C467" s="219" t="s">
        <v>622</v>
      </c>
      <c r="D467" s="231"/>
      <c r="E467" s="221"/>
    </row>
    <row r="468" spans="1:5" ht="18">
      <c r="A468" s="1942" t="s">
        <v>285</v>
      </c>
      <c r="B468" s="271" t="s">
        <v>698</v>
      </c>
      <c r="C468" s="219" t="s">
        <v>622</v>
      </c>
      <c r="D468" s="231"/>
      <c r="E468" s="221"/>
    </row>
    <row r="469" spans="1:5" ht="18">
      <c r="A469" s="1942" t="s">
        <v>286</v>
      </c>
      <c r="B469" s="271" t="s">
        <v>699</v>
      </c>
      <c r="C469" s="219" t="s">
        <v>622</v>
      </c>
      <c r="D469" s="231"/>
      <c r="E469" s="221"/>
    </row>
    <row r="470" spans="1:5" ht="18">
      <c r="A470" s="1942" t="s">
        <v>287</v>
      </c>
      <c r="B470" s="271" t="s">
        <v>700</v>
      </c>
      <c r="C470" s="219" t="s">
        <v>622</v>
      </c>
      <c r="D470" s="231"/>
      <c r="E470" s="221"/>
    </row>
    <row r="471" spans="1:5" ht="18">
      <c r="A471" s="1942" t="s">
        <v>288</v>
      </c>
      <c r="B471" s="271" t="s">
        <v>701</v>
      </c>
      <c r="C471" s="219" t="s">
        <v>622</v>
      </c>
      <c r="D471" s="231"/>
      <c r="E471" s="221"/>
    </row>
    <row r="472" spans="1:5" ht="18.75" thickBot="1">
      <c r="A472" s="1942" t="s">
        <v>289</v>
      </c>
      <c r="B472" s="274" t="s">
        <v>702</v>
      </c>
      <c r="C472" s="219" t="s">
        <v>622</v>
      </c>
      <c r="D472" s="231"/>
      <c r="E472" s="221"/>
    </row>
    <row r="473" spans="1:5" ht="18">
      <c r="A473" s="1942" t="s">
        <v>290</v>
      </c>
      <c r="B473" s="270" t="s">
        <v>703</v>
      </c>
      <c r="C473" s="219" t="s">
        <v>622</v>
      </c>
      <c r="D473" s="231"/>
      <c r="E473" s="221"/>
    </row>
    <row r="474" spans="1:5" ht="18">
      <c r="A474" s="1942" t="s">
        <v>291</v>
      </c>
      <c r="B474" s="271" t="s">
        <v>704</v>
      </c>
      <c r="C474" s="219" t="s">
        <v>622</v>
      </c>
      <c r="D474" s="231"/>
      <c r="E474" s="221"/>
    </row>
    <row r="475" spans="1:5" ht="18">
      <c r="A475" s="1942" t="s">
        <v>292</v>
      </c>
      <c r="B475" s="271" t="s">
        <v>705</v>
      </c>
      <c r="C475" s="219" t="s">
        <v>622</v>
      </c>
      <c r="D475" s="231"/>
      <c r="E475" s="221"/>
    </row>
    <row r="476" spans="1:5" ht="18">
      <c r="A476" s="1942" t="s">
        <v>293</v>
      </c>
      <c r="B476" s="272" t="s">
        <v>706</v>
      </c>
      <c r="C476" s="219" t="s">
        <v>622</v>
      </c>
      <c r="D476" s="231"/>
      <c r="E476" s="221"/>
    </row>
    <row r="477" spans="1:5" ht="18">
      <c r="A477" s="1942" t="s">
        <v>294</v>
      </c>
      <c r="B477" s="271" t="s">
        <v>707</v>
      </c>
      <c r="C477" s="219" t="s">
        <v>622</v>
      </c>
      <c r="D477" s="231"/>
      <c r="E477" s="221"/>
    </row>
    <row r="478" spans="1:5" ht="18">
      <c r="A478" s="1942" t="s">
        <v>295</v>
      </c>
      <c r="B478" s="271" t="s">
        <v>708</v>
      </c>
      <c r="C478" s="219" t="s">
        <v>622</v>
      </c>
      <c r="D478" s="231"/>
      <c r="E478" s="221"/>
    </row>
    <row r="479" spans="1:5" ht="18">
      <c r="A479" s="1942" t="s">
        <v>296</v>
      </c>
      <c r="B479" s="271" t="s">
        <v>709</v>
      </c>
      <c r="C479" s="219" t="s">
        <v>622</v>
      </c>
      <c r="D479" s="231"/>
      <c r="E479" s="221"/>
    </row>
    <row r="480" spans="1:5" ht="18">
      <c r="A480" s="1942" t="s">
        <v>297</v>
      </c>
      <c r="B480" s="271" t="s">
        <v>710</v>
      </c>
      <c r="C480" s="219" t="s">
        <v>622</v>
      </c>
      <c r="D480" s="231"/>
      <c r="E480" s="221"/>
    </row>
    <row r="481" spans="1:5" ht="18">
      <c r="A481" s="1942" t="s">
        <v>298</v>
      </c>
      <c r="B481" s="271" t="s">
        <v>711</v>
      </c>
      <c r="C481" s="219" t="s">
        <v>622</v>
      </c>
      <c r="D481" s="231"/>
      <c r="E481" s="221"/>
    </row>
    <row r="482" spans="1:5" ht="18">
      <c r="A482" s="1942" t="s">
        <v>299</v>
      </c>
      <c r="B482" s="271" t="s">
        <v>712</v>
      </c>
      <c r="C482" s="219" t="s">
        <v>622</v>
      </c>
      <c r="D482" s="231"/>
      <c r="E482" s="221"/>
    </row>
    <row r="483" spans="1:5" ht="18.75" thickBot="1">
      <c r="A483" s="1942" t="s">
        <v>300</v>
      </c>
      <c r="B483" s="274" t="s">
        <v>713</v>
      </c>
      <c r="C483" s="219" t="s">
        <v>622</v>
      </c>
      <c r="D483" s="231"/>
      <c r="E483" s="221"/>
    </row>
    <row r="484" spans="1:5" ht="18">
      <c r="A484" s="1942" t="s">
        <v>301</v>
      </c>
      <c r="B484" s="270" t="s">
        <v>714</v>
      </c>
      <c r="C484" s="219" t="s">
        <v>622</v>
      </c>
      <c r="D484" s="231"/>
      <c r="E484" s="221"/>
    </row>
    <row r="485" spans="1:5" ht="18">
      <c r="A485" s="1942" t="s">
        <v>302</v>
      </c>
      <c r="B485" s="271" t="s">
        <v>715</v>
      </c>
      <c r="C485" s="219" t="s">
        <v>622</v>
      </c>
      <c r="D485" s="231"/>
      <c r="E485" s="221"/>
    </row>
    <row r="486" spans="1:5" ht="18">
      <c r="A486" s="1942" t="s">
        <v>303</v>
      </c>
      <c r="B486" s="272" t="s">
        <v>716</v>
      </c>
      <c r="C486" s="219" t="s">
        <v>622</v>
      </c>
      <c r="D486" s="231"/>
      <c r="E486" s="221"/>
    </row>
    <row r="487" spans="1:5" ht="18">
      <c r="A487" s="1942" t="s">
        <v>304</v>
      </c>
      <c r="B487" s="271" t="s">
        <v>717</v>
      </c>
      <c r="C487" s="219" t="s">
        <v>622</v>
      </c>
      <c r="D487" s="231"/>
      <c r="E487" s="221"/>
    </row>
    <row r="488" spans="1:5" ht="18">
      <c r="A488" s="1942" t="s">
        <v>305</v>
      </c>
      <c r="B488" s="271" t="s">
        <v>718</v>
      </c>
      <c r="C488" s="219" t="s">
        <v>622</v>
      </c>
      <c r="D488" s="231"/>
      <c r="E488" s="221"/>
    </row>
    <row r="489" spans="1:5" ht="18">
      <c r="A489" s="1942" t="s">
        <v>306</v>
      </c>
      <c r="B489" s="271" t="s">
        <v>719</v>
      </c>
      <c r="C489" s="219" t="s">
        <v>622</v>
      </c>
      <c r="D489" s="231"/>
      <c r="E489" s="221"/>
    </row>
    <row r="490" spans="1:5" ht="18">
      <c r="A490" s="1942" t="s">
        <v>307</v>
      </c>
      <c r="B490" s="271" t="s">
        <v>720</v>
      </c>
      <c r="C490" s="219" t="s">
        <v>622</v>
      </c>
      <c r="D490" s="231"/>
      <c r="E490" s="221"/>
    </row>
    <row r="491" spans="1:5" ht="18">
      <c r="A491" s="1942" t="s">
        <v>308</v>
      </c>
      <c r="B491" s="271" t="s">
        <v>721</v>
      </c>
      <c r="C491" s="219" t="s">
        <v>622</v>
      </c>
      <c r="D491" s="231"/>
      <c r="E491" s="221"/>
    </row>
    <row r="492" spans="1:5" ht="18">
      <c r="A492" s="1942" t="s">
        <v>309</v>
      </c>
      <c r="B492" s="271" t="s">
        <v>722</v>
      </c>
      <c r="C492" s="219" t="s">
        <v>622</v>
      </c>
      <c r="D492" s="231"/>
      <c r="E492" s="221"/>
    </row>
    <row r="493" spans="1:5" ht="18.75" thickBot="1">
      <c r="A493" s="1942" t="s">
        <v>310</v>
      </c>
      <c r="B493" s="274" t="s">
        <v>723</v>
      </c>
      <c r="C493" s="219" t="s">
        <v>622</v>
      </c>
      <c r="D493" s="231"/>
      <c r="E493" s="221"/>
    </row>
    <row r="494" spans="1:5" ht="18">
      <c r="A494" s="1942" t="s">
        <v>311</v>
      </c>
      <c r="B494" s="275" t="s">
        <v>724</v>
      </c>
      <c r="C494" s="219" t="s">
        <v>622</v>
      </c>
      <c r="D494" s="231"/>
      <c r="E494" s="221"/>
    </row>
    <row r="495" spans="1:5" ht="18">
      <c r="A495" s="1942" t="s">
        <v>312</v>
      </c>
      <c r="B495" s="271" t="s">
        <v>725</v>
      </c>
      <c r="C495" s="219" t="s">
        <v>622</v>
      </c>
      <c r="D495" s="231"/>
      <c r="E495" s="221"/>
    </row>
    <row r="496" spans="1:5" ht="18">
      <c r="A496" s="1942" t="s">
        <v>313</v>
      </c>
      <c r="B496" s="271" t="s">
        <v>726</v>
      </c>
      <c r="C496" s="219" t="s">
        <v>622</v>
      </c>
      <c r="D496" s="231"/>
      <c r="E496" s="221"/>
    </row>
    <row r="497" spans="1:5" ht="18.75" thickBot="1">
      <c r="A497" s="1942" t="s">
        <v>314</v>
      </c>
      <c r="B497" s="274" t="s">
        <v>727</v>
      </c>
      <c r="C497" s="219" t="s">
        <v>622</v>
      </c>
      <c r="D497" s="231"/>
      <c r="E497" s="221"/>
    </row>
    <row r="498" spans="1:5" ht="18">
      <c r="A498" s="1942" t="s">
        <v>315</v>
      </c>
      <c r="B498" s="270" t="s">
        <v>728</v>
      </c>
      <c r="C498" s="219" t="s">
        <v>622</v>
      </c>
      <c r="D498" s="231"/>
      <c r="E498" s="221"/>
    </row>
    <row r="499" spans="1:5" ht="18">
      <c r="A499" s="1942" t="s">
        <v>316</v>
      </c>
      <c r="B499" s="271" t="s">
        <v>729</v>
      </c>
      <c r="C499" s="219" t="s">
        <v>622</v>
      </c>
      <c r="D499" s="231"/>
      <c r="E499" s="221"/>
    </row>
    <row r="500" spans="1:5" ht="18">
      <c r="A500" s="1942" t="s">
        <v>317</v>
      </c>
      <c r="B500" s="272" t="s">
        <v>730</v>
      </c>
      <c r="C500" s="219" t="s">
        <v>622</v>
      </c>
      <c r="D500" s="231"/>
      <c r="E500" s="221"/>
    </row>
    <row r="501" spans="1:5" ht="18">
      <c r="A501" s="1942" t="s">
        <v>318</v>
      </c>
      <c r="B501" s="271" t="s">
        <v>731</v>
      </c>
      <c r="C501" s="219" t="s">
        <v>622</v>
      </c>
      <c r="D501" s="231"/>
      <c r="E501" s="221"/>
    </row>
    <row r="502" spans="1:5" ht="18">
      <c r="A502" s="1942" t="s">
        <v>319</v>
      </c>
      <c r="B502" s="271" t="s">
        <v>732</v>
      </c>
      <c r="C502" s="219" t="s">
        <v>622</v>
      </c>
      <c r="D502" s="231"/>
      <c r="E502" s="221"/>
    </row>
    <row r="503" spans="1:5" ht="18">
      <c r="A503" s="1942" t="s">
        <v>320</v>
      </c>
      <c r="B503" s="271" t="s">
        <v>733</v>
      </c>
      <c r="C503" s="219" t="s">
        <v>622</v>
      </c>
      <c r="D503" s="231"/>
      <c r="E503" s="221"/>
    </row>
    <row r="504" spans="1:5" ht="18">
      <c r="A504" s="1942" t="s">
        <v>321</v>
      </c>
      <c r="B504" s="271" t="s">
        <v>734</v>
      </c>
      <c r="C504" s="219" t="s">
        <v>622</v>
      </c>
      <c r="D504" s="231"/>
      <c r="E504" s="221"/>
    </row>
    <row r="505" spans="1:5" ht="18.75" thickBot="1">
      <c r="A505" s="1942" t="s">
        <v>322</v>
      </c>
      <c r="B505" s="274" t="s">
        <v>735</v>
      </c>
      <c r="C505" s="219" t="s">
        <v>622</v>
      </c>
      <c r="D505" s="231"/>
      <c r="E505" s="221"/>
    </row>
    <row r="506" spans="1:5" ht="18">
      <c r="A506" s="1942" t="s">
        <v>323</v>
      </c>
      <c r="B506" s="270" t="s">
        <v>736</v>
      </c>
      <c r="C506" s="219" t="s">
        <v>622</v>
      </c>
      <c r="D506" s="231"/>
      <c r="E506" s="221"/>
    </row>
    <row r="507" spans="1:5" ht="18">
      <c r="A507" s="1942" t="s">
        <v>324</v>
      </c>
      <c r="B507" s="271" t="s">
        <v>737</v>
      </c>
      <c r="C507" s="219" t="s">
        <v>622</v>
      </c>
      <c r="D507" s="231"/>
      <c r="E507" s="221"/>
    </row>
    <row r="508" spans="1:5" ht="18">
      <c r="A508" s="1942" t="s">
        <v>325</v>
      </c>
      <c r="B508" s="271" t="s">
        <v>738</v>
      </c>
      <c r="C508" s="219" t="s">
        <v>622</v>
      </c>
      <c r="D508" s="231"/>
      <c r="E508" s="221"/>
    </row>
    <row r="509" spans="1:5" ht="18">
      <c r="A509" s="1942" t="s">
        <v>326</v>
      </c>
      <c r="B509" s="271" t="s">
        <v>739</v>
      </c>
      <c r="C509" s="219" t="s">
        <v>622</v>
      </c>
      <c r="D509" s="231"/>
      <c r="E509" s="221"/>
    </row>
    <row r="510" spans="1:5" ht="18">
      <c r="A510" s="1942" t="s">
        <v>327</v>
      </c>
      <c r="B510" s="272" t="s">
        <v>740</v>
      </c>
      <c r="C510" s="219" t="s">
        <v>622</v>
      </c>
      <c r="D510" s="231"/>
      <c r="E510" s="221"/>
    </row>
    <row r="511" spans="1:5" ht="18">
      <c r="A511" s="1942" t="s">
        <v>328</v>
      </c>
      <c r="B511" s="271" t="s">
        <v>741</v>
      </c>
      <c r="C511" s="219" t="s">
        <v>622</v>
      </c>
      <c r="D511" s="231"/>
      <c r="E511" s="221"/>
    </row>
    <row r="512" spans="1:5" ht="18.75" thickBot="1">
      <c r="A512" s="1942" t="s">
        <v>329</v>
      </c>
      <c r="B512" s="274" t="s">
        <v>1044</v>
      </c>
      <c r="C512" s="219" t="s">
        <v>622</v>
      </c>
      <c r="D512" s="231"/>
      <c r="E512" s="221"/>
    </row>
    <row r="513" spans="1:5" ht="18">
      <c r="A513" s="1942" t="s">
        <v>330</v>
      </c>
      <c r="B513" s="270" t="s">
        <v>1045</v>
      </c>
      <c r="C513" s="219" t="s">
        <v>622</v>
      </c>
      <c r="D513" s="231"/>
      <c r="E513" s="221"/>
    </row>
    <row r="514" spans="1:5" ht="18">
      <c r="A514" s="1942" t="s">
        <v>331</v>
      </c>
      <c r="B514" s="271" t="s">
        <v>1046</v>
      </c>
      <c r="C514" s="219" t="s">
        <v>622</v>
      </c>
      <c r="D514" s="231"/>
      <c r="E514" s="221"/>
    </row>
    <row r="515" spans="1:5" ht="18">
      <c r="A515" s="1942" t="s">
        <v>332</v>
      </c>
      <c r="B515" s="271" t="s">
        <v>1047</v>
      </c>
      <c r="C515" s="219" t="s">
        <v>622</v>
      </c>
      <c r="D515" s="231"/>
      <c r="E515" s="221"/>
    </row>
    <row r="516" spans="1:5" ht="18">
      <c r="A516" s="1942" t="s">
        <v>333</v>
      </c>
      <c r="B516" s="271" t="s">
        <v>1048</v>
      </c>
      <c r="C516" s="219" t="s">
        <v>622</v>
      </c>
      <c r="D516" s="231"/>
      <c r="E516" s="221"/>
    </row>
    <row r="517" spans="1:5" ht="18">
      <c r="A517" s="1942" t="s">
        <v>334</v>
      </c>
      <c r="B517" s="272" t="s">
        <v>1049</v>
      </c>
      <c r="C517" s="219" t="s">
        <v>622</v>
      </c>
      <c r="D517" s="231"/>
      <c r="E517" s="221"/>
    </row>
    <row r="518" spans="1:5" ht="18">
      <c r="A518" s="1942" t="s">
        <v>335</v>
      </c>
      <c r="B518" s="271" t="s">
        <v>1050</v>
      </c>
      <c r="C518" s="219" t="s">
        <v>622</v>
      </c>
      <c r="D518" s="231"/>
      <c r="E518" s="221"/>
    </row>
    <row r="519" spans="1:5" ht="18">
      <c r="A519" s="1942" t="s">
        <v>336</v>
      </c>
      <c r="B519" s="271" t="s">
        <v>1051</v>
      </c>
      <c r="C519" s="219" t="s">
        <v>622</v>
      </c>
      <c r="D519" s="231"/>
      <c r="E519" s="221"/>
    </row>
    <row r="520" spans="1:5" ht="18">
      <c r="A520" s="1942" t="s">
        <v>337</v>
      </c>
      <c r="B520" s="271" t="s">
        <v>1052</v>
      </c>
      <c r="C520" s="219" t="s">
        <v>622</v>
      </c>
      <c r="D520" s="231"/>
      <c r="E520" s="221"/>
    </row>
    <row r="521" spans="1:5" ht="18.75" thickBot="1">
      <c r="A521" s="1942" t="s">
        <v>338</v>
      </c>
      <c r="B521" s="274" t="s">
        <v>1053</v>
      </c>
      <c r="C521" s="219" t="s">
        <v>622</v>
      </c>
      <c r="D521" s="231"/>
      <c r="E521" s="221"/>
    </row>
    <row r="522" spans="1:5" ht="18">
      <c r="A522" s="1942" t="s">
        <v>339</v>
      </c>
      <c r="B522" s="270" t="s">
        <v>1054</v>
      </c>
      <c r="C522" s="219" t="s">
        <v>622</v>
      </c>
      <c r="D522" s="231"/>
      <c r="E522" s="221"/>
    </row>
    <row r="523" spans="1:5" ht="18">
      <c r="A523" s="1942" t="s">
        <v>340</v>
      </c>
      <c r="B523" s="271" t="s">
        <v>1055</v>
      </c>
      <c r="C523" s="219" t="s">
        <v>622</v>
      </c>
      <c r="D523" s="231"/>
      <c r="E523" s="221"/>
    </row>
    <row r="524" spans="1:5" ht="18">
      <c r="A524" s="1942" t="s">
        <v>341</v>
      </c>
      <c r="B524" s="272" t="s">
        <v>1056</v>
      </c>
      <c r="C524" s="219" t="s">
        <v>622</v>
      </c>
      <c r="D524" s="231"/>
      <c r="E524" s="221"/>
    </row>
    <row r="525" spans="1:5" ht="18">
      <c r="A525" s="1942" t="s">
        <v>342</v>
      </c>
      <c r="B525" s="271" t="s">
        <v>1057</v>
      </c>
      <c r="C525" s="219" t="s">
        <v>622</v>
      </c>
      <c r="D525" s="231"/>
      <c r="E525" s="221"/>
    </row>
    <row r="526" spans="1:5" ht="18">
      <c r="A526" s="1942" t="s">
        <v>343</v>
      </c>
      <c r="B526" s="271" t="s">
        <v>1058</v>
      </c>
      <c r="C526" s="219" t="s">
        <v>622</v>
      </c>
      <c r="D526" s="231"/>
      <c r="E526" s="221"/>
    </row>
    <row r="527" spans="1:5" ht="18">
      <c r="A527" s="1942" t="s">
        <v>344</v>
      </c>
      <c r="B527" s="271" t="s">
        <v>1059</v>
      </c>
      <c r="C527" s="219" t="s">
        <v>622</v>
      </c>
      <c r="D527" s="231"/>
      <c r="E527" s="221"/>
    </row>
    <row r="528" spans="1:5" ht="18">
      <c r="A528" s="1942" t="s">
        <v>345</v>
      </c>
      <c r="B528" s="271" t="s">
        <v>1060</v>
      </c>
      <c r="C528" s="219" t="s">
        <v>622</v>
      </c>
      <c r="D528" s="231"/>
      <c r="E528" s="221"/>
    </row>
    <row r="529" spans="1:5" ht="18.75" thickBot="1">
      <c r="A529" s="1942" t="s">
        <v>346</v>
      </c>
      <c r="B529" s="274" t="s">
        <v>1061</v>
      </c>
      <c r="C529" s="219" t="s">
        <v>622</v>
      </c>
      <c r="D529" s="231"/>
      <c r="E529" s="221"/>
    </row>
    <row r="530" spans="1:5" ht="18">
      <c r="A530" s="1942" t="s">
        <v>347</v>
      </c>
      <c r="B530" s="270" t="s">
        <v>1062</v>
      </c>
      <c r="C530" s="219" t="s">
        <v>622</v>
      </c>
      <c r="D530" s="231"/>
      <c r="E530" s="221"/>
    </row>
    <row r="531" spans="1:5" ht="18">
      <c r="A531" s="1942" t="s">
        <v>348</v>
      </c>
      <c r="B531" s="271" t="s">
        <v>1063</v>
      </c>
      <c r="C531" s="219" t="s">
        <v>622</v>
      </c>
      <c r="D531" s="231"/>
      <c r="E531" s="221"/>
    </row>
    <row r="532" spans="1:5" ht="18">
      <c r="A532" s="1942" t="s">
        <v>349</v>
      </c>
      <c r="B532" s="271" t="s">
        <v>1064</v>
      </c>
      <c r="C532" s="219" t="s">
        <v>622</v>
      </c>
      <c r="D532" s="231"/>
      <c r="E532" s="221"/>
    </row>
    <row r="533" spans="1:5" ht="18">
      <c r="A533" s="1942" t="s">
        <v>350</v>
      </c>
      <c r="B533" s="271" t="s">
        <v>1065</v>
      </c>
      <c r="C533" s="219" t="s">
        <v>622</v>
      </c>
      <c r="D533" s="231"/>
      <c r="E533" s="221"/>
    </row>
    <row r="534" spans="1:5" ht="18">
      <c r="A534" s="1942" t="s">
        <v>351</v>
      </c>
      <c r="B534" s="271" t="s">
        <v>1066</v>
      </c>
      <c r="C534" s="219" t="s">
        <v>622</v>
      </c>
      <c r="D534" s="231"/>
      <c r="E534" s="221"/>
    </row>
    <row r="535" spans="1:5" ht="18">
      <c r="A535" s="1942" t="s">
        <v>352</v>
      </c>
      <c r="B535" s="271" t="s">
        <v>1067</v>
      </c>
      <c r="C535" s="219" t="s">
        <v>622</v>
      </c>
      <c r="D535" s="231"/>
      <c r="E535" s="221"/>
    </row>
    <row r="536" spans="1:5" ht="18">
      <c r="A536" s="1942" t="s">
        <v>353</v>
      </c>
      <c r="B536" s="271" t="s">
        <v>1068</v>
      </c>
      <c r="C536" s="219" t="s">
        <v>622</v>
      </c>
      <c r="D536" s="231"/>
      <c r="E536" s="221"/>
    </row>
    <row r="537" spans="1:5" ht="18">
      <c r="A537" s="1942" t="s">
        <v>354</v>
      </c>
      <c r="B537" s="271" t="s">
        <v>1069</v>
      </c>
      <c r="C537" s="219" t="s">
        <v>622</v>
      </c>
      <c r="D537" s="231"/>
      <c r="E537" s="221"/>
    </row>
    <row r="538" spans="1:5" ht="18">
      <c r="A538" s="1942" t="s">
        <v>355</v>
      </c>
      <c r="B538" s="272" t="s">
        <v>1070</v>
      </c>
      <c r="C538" s="219" t="s">
        <v>622</v>
      </c>
      <c r="D538" s="231"/>
      <c r="E538" s="221"/>
    </row>
    <row r="539" spans="1:5" ht="18">
      <c r="A539" s="1942" t="s">
        <v>356</v>
      </c>
      <c r="B539" s="271" t="s">
        <v>1071</v>
      </c>
      <c r="C539" s="219" t="s">
        <v>622</v>
      </c>
      <c r="D539" s="231"/>
      <c r="E539" s="221"/>
    </row>
    <row r="540" spans="1:5" ht="18.75" thickBot="1">
      <c r="A540" s="1942" t="s">
        <v>357</v>
      </c>
      <c r="B540" s="274" t="s">
        <v>1072</v>
      </c>
      <c r="C540" s="219" t="s">
        <v>622</v>
      </c>
      <c r="D540" s="231"/>
      <c r="E540" s="221"/>
    </row>
    <row r="541" spans="1:5" ht="18">
      <c r="A541" s="1942" t="s">
        <v>358</v>
      </c>
      <c r="B541" s="270" t="s">
        <v>1073</v>
      </c>
      <c r="C541" s="219" t="s">
        <v>622</v>
      </c>
      <c r="D541" s="231"/>
      <c r="E541" s="221"/>
    </row>
    <row r="542" spans="1:5" ht="18">
      <c r="A542" s="1942" t="s">
        <v>359</v>
      </c>
      <c r="B542" s="271" t="s">
        <v>1074</v>
      </c>
      <c r="C542" s="219" t="s">
        <v>622</v>
      </c>
      <c r="D542" s="231"/>
      <c r="E542" s="221"/>
    </row>
    <row r="543" spans="1:5" ht="18">
      <c r="A543" s="1942" t="s">
        <v>360</v>
      </c>
      <c r="B543" s="271" t="s">
        <v>1075</v>
      </c>
      <c r="C543" s="219" t="s">
        <v>622</v>
      </c>
      <c r="D543" s="231"/>
      <c r="E543" s="221"/>
    </row>
    <row r="544" spans="1:5" ht="18">
      <c r="A544" s="1942" t="s">
        <v>361</v>
      </c>
      <c r="B544" s="271" t="s">
        <v>1076</v>
      </c>
      <c r="C544" s="219" t="s">
        <v>622</v>
      </c>
      <c r="D544" s="231"/>
      <c r="E544" s="221"/>
    </row>
    <row r="545" spans="1:5" ht="18">
      <c r="A545" s="1942" t="s">
        <v>362</v>
      </c>
      <c r="B545" s="271" t="s">
        <v>1077</v>
      </c>
      <c r="C545" s="219" t="s">
        <v>622</v>
      </c>
      <c r="D545" s="231"/>
      <c r="E545" s="221"/>
    </row>
    <row r="546" spans="1:5" ht="18">
      <c r="A546" s="1942" t="s">
        <v>363</v>
      </c>
      <c r="B546" s="272" t="s">
        <v>1078</v>
      </c>
      <c r="C546" s="219" t="s">
        <v>622</v>
      </c>
      <c r="D546" s="231"/>
      <c r="E546" s="221"/>
    </row>
    <row r="547" spans="1:5" ht="18">
      <c r="A547" s="1942" t="s">
        <v>364</v>
      </c>
      <c r="B547" s="271" t="s">
        <v>1079</v>
      </c>
      <c r="C547" s="219" t="s">
        <v>622</v>
      </c>
      <c r="D547" s="231"/>
      <c r="E547" s="221"/>
    </row>
    <row r="548" spans="1:5" ht="18">
      <c r="A548" s="1942" t="s">
        <v>365</v>
      </c>
      <c r="B548" s="271" t="s">
        <v>1080</v>
      </c>
      <c r="C548" s="219" t="s">
        <v>622</v>
      </c>
      <c r="D548" s="231"/>
      <c r="E548" s="221"/>
    </row>
    <row r="549" spans="1:5" ht="18">
      <c r="A549" s="1942" t="s">
        <v>366</v>
      </c>
      <c r="B549" s="271" t="s">
        <v>1081</v>
      </c>
      <c r="C549" s="219" t="s">
        <v>622</v>
      </c>
      <c r="D549" s="231"/>
      <c r="E549" s="221"/>
    </row>
    <row r="550" spans="1:5" ht="18">
      <c r="A550" s="1942" t="s">
        <v>367</v>
      </c>
      <c r="B550" s="271" t="s">
        <v>1082</v>
      </c>
      <c r="C550" s="219" t="s">
        <v>622</v>
      </c>
      <c r="D550" s="231"/>
      <c r="E550" s="221"/>
    </row>
    <row r="551" spans="1:5" ht="18">
      <c r="A551" s="1942" t="s">
        <v>368</v>
      </c>
      <c r="B551" s="1139" t="s">
        <v>1083</v>
      </c>
      <c r="C551" s="219" t="s">
        <v>622</v>
      </c>
      <c r="D551" s="231"/>
      <c r="E551" s="221"/>
    </row>
    <row r="552" spans="1:5" ht="18.75" thickBot="1">
      <c r="A552" s="1942" t="s">
        <v>369</v>
      </c>
      <c r="B552" s="274" t="s">
        <v>1423</v>
      </c>
      <c r="C552" s="219" t="s">
        <v>622</v>
      </c>
      <c r="D552" s="231"/>
      <c r="E552" s="221"/>
    </row>
    <row r="553" spans="1:5" ht="18">
      <c r="A553" s="1942" t="s">
        <v>370</v>
      </c>
      <c r="B553" s="270" t="s">
        <v>1084</v>
      </c>
      <c r="C553" s="219" t="s">
        <v>622</v>
      </c>
      <c r="D553" s="231"/>
      <c r="E553" s="221"/>
    </row>
    <row r="554" spans="1:5" ht="18">
      <c r="A554" s="1942" t="s">
        <v>371</v>
      </c>
      <c r="B554" s="271" t="s">
        <v>1085</v>
      </c>
      <c r="C554" s="219" t="s">
        <v>622</v>
      </c>
      <c r="D554" s="231"/>
      <c r="E554" s="221"/>
    </row>
    <row r="555" spans="1:5" ht="18">
      <c r="A555" s="1942" t="s">
        <v>372</v>
      </c>
      <c r="B555" s="271" t="s">
        <v>1086</v>
      </c>
      <c r="C555" s="219" t="s">
        <v>622</v>
      </c>
      <c r="D555" s="231"/>
      <c r="E555" s="221"/>
    </row>
    <row r="556" spans="1:5" ht="18">
      <c r="A556" s="1942" t="s">
        <v>373</v>
      </c>
      <c r="B556" s="272" t="s">
        <v>1087</v>
      </c>
      <c r="C556" s="219" t="s">
        <v>622</v>
      </c>
      <c r="D556" s="231"/>
      <c r="E556" s="221"/>
    </row>
    <row r="557" spans="1:5" ht="18">
      <c r="A557" s="1942" t="s">
        <v>374</v>
      </c>
      <c r="B557" s="271" t="s">
        <v>1088</v>
      </c>
      <c r="C557" s="219" t="s">
        <v>622</v>
      </c>
      <c r="D557" s="231"/>
      <c r="E557" s="221"/>
    </row>
    <row r="558" spans="1:5" ht="18.75" thickBot="1">
      <c r="A558" s="1942" t="s">
        <v>375</v>
      </c>
      <c r="B558" s="274" t="s">
        <v>1089</v>
      </c>
      <c r="C558" s="219" t="s">
        <v>622</v>
      </c>
      <c r="D558" s="231"/>
      <c r="E558" s="221"/>
    </row>
    <row r="559" spans="1:5" ht="18">
      <c r="A559" s="1942" t="s">
        <v>376</v>
      </c>
      <c r="B559" s="276" t="s">
        <v>1090</v>
      </c>
      <c r="C559" s="219" t="s">
        <v>622</v>
      </c>
      <c r="D559" s="231"/>
      <c r="E559" s="221"/>
    </row>
    <row r="560" spans="1:5" ht="18">
      <c r="A560" s="1942" t="s">
        <v>377</v>
      </c>
      <c r="B560" s="271" t="s">
        <v>1091</v>
      </c>
      <c r="C560" s="219" t="s">
        <v>622</v>
      </c>
      <c r="D560" s="231"/>
      <c r="E560" s="221"/>
    </row>
    <row r="561" spans="1:5" ht="18">
      <c r="A561" s="1942" t="s">
        <v>378</v>
      </c>
      <c r="B561" s="271" t="s">
        <v>1092</v>
      </c>
      <c r="C561" s="219" t="s">
        <v>622</v>
      </c>
      <c r="D561" s="231"/>
      <c r="E561" s="221"/>
    </row>
    <row r="562" spans="1:5" ht="18">
      <c r="A562" s="1942" t="s">
        <v>379</v>
      </c>
      <c r="B562" s="271" t="s">
        <v>1093</v>
      </c>
      <c r="C562" s="219" t="s">
        <v>622</v>
      </c>
      <c r="D562" s="231"/>
      <c r="E562" s="221"/>
    </row>
    <row r="563" spans="1:5" ht="18">
      <c r="A563" s="1942" t="s">
        <v>380</v>
      </c>
      <c r="B563" s="271" t="s">
        <v>1094</v>
      </c>
      <c r="C563" s="219" t="s">
        <v>622</v>
      </c>
      <c r="D563" s="231"/>
      <c r="E563" s="221"/>
    </row>
    <row r="564" spans="1:5" ht="18">
      <c r="A564" s="1942" t="s">
        <v>381</v>
      </c>
      <c r="B564" s="271" t="s">
        <v>1095</v>
      </c>
      <c r="C564" s="219" t="s">
        <v>622</v>
      </c>
      <c r="D564" s="231"/>
      <c r="E564" s="221"/>
    </row>
    <row r="565" spans="1:5" ht="18">
      <c r="A565" s="1942" t="s">
        <v>382</v>
      </c>
      <c r="B565" s="271" t="s">
        <v>1096</v>
      </c>
      <c r="C565" s="219" t="s">
        <v>622</v>
      </c>
      <c r="D565" s="231"/>
      <c r="E565" s="221"/>
    </row>
    <row r="566" spans="1:5" ht="18">
      <c r="A566" s="1942" t="s">
        <v>383</v>
      </c>
      <c r="B566" s="272" t="s">
        <v>1097</v>
      </c>
      <c r="C566" s="219" t="s">
        <v>622</v>
      </c>
      <c r="D566" s="231"/>
      <c r="E566" s="221"/>
    </row>
    <row r="567" spans="1:5" ht="18">
      <c r="A567" s="1942" t="s">
        <v>384</v>
      </c>
      <c r="B567" s="271" t="s">
        <v>1098</v>
      </c>
      <c r="C567" s="219" t="s">
        <v>622</v>
      </c>
      <c r="D567" s="231"/>
      <c r="E567" s="221"/>
    </row>
    <row r="568" spans="1:5" ht="18">
      <c r="A568" s="1942" t="s">
        <v>385</v>
      </c>
      <c r="B568" s="271" t="s">
        <v>1099</v>
      </c>
      <c r="C568" s="219" t="s">
        <v>622</v>
      </c>
      <c r="D568" s="231"/>
      <c r="E568" s="221"/>
    </row>
    <row r="569" spans="1:5" ht="18.75" thickBot="1">
      <c r="A569" s="1942" t="s">
        <v>386</v>
      </c>
      <c r="B569" s="274" t="s">
        <v>1100</v>
      </c>
      <c r="C569" s="219" t="s">
        <v>622</v>
      </c>
      <c r="D569" s="232"/>
      <c r="E569" s="221"/>
    </row>
    <row r="570" spans="1:5" ht="18">
      <c r="A570" s="1942" t="s">
        <v>387</v>
      </c>
      <c r="B570" s="276" t="s">
        <v>1101</v>
      </c>
      <c r="C570" s="219" t="s">
        <v>622</v>
      </c>
      <c r="D570" s="231"/>
      <c r="E570" s="221"/>
    </row>
    <row r="571" spans="1:5" ht="18">
      <c r="A571" s="1942" t="s">
        <v>388</v>
      </c>
      <c r="B571" s="271" t="s">
        <v>1102</v>
      </c>
      <c r="C571" s="219" t="s">
        <v>622</v>
      </c>
      <c r="D571" s="231"/>
      <c r="E571" s="221"/>
    </row>
    <row r="572" spans="1:5" ht="18">
      <c r="A572" s="1942" t="s">
        <v>389</v>
      </c>
      <c r="B572" s="271" t="s">
        <v>1103</v>
      </c>
      <c r="C572" s="219" t="s">
        <v>622</v>
      </c>
      <c r="D572" s="231"/>
      <c r="E572" s="221"/>
    </row>
    <row r="573" spans="1:5" ht="18">
      <c r="A573" s="1942" t="s">
        <v>390</v>
      </c>
      <c r="B573" s="271" t="s">
        <v>1104</v>
      </c>
      <c r="C573" s="219" t="s">
        <v>622</v>
      </c>
      <c r="D573" s="231"/>
      <c r="E573" s="221"/>
    </row>
    <row r="574" spans="1:5" ht="18">
      <c r="A574" s="1942" t="s">
        <v>391</v>
      </c>
      <c r="B574" s="271" t="s">
        <v>1105</v>
      </c>
      <c r="C574" s="219" t="s">
        <v>622</v>
      </c>
      <c r="D574" s="231"/>
      <c r="E574" s="221"/>
    </row>
    <row r="575" spans="1:5" ht="18">
      <c r="A575" s="1942" t="s">
        <v>392</v>
      </c>
      <c r="B575" s="271" t="s">
        <v>1106</v>
      </c>
      <c r="C575" s="219" t="s">
        <v>622</v>
      </c>
      <c r="D575" s="231"/>
      <c r="E575" s="221"/>
    </row>
    <row r="576" spans="1:5" ht="18">
      <c r="A576" s="1942" t="s">
        <v>393</v>
      </c>
      <c r="B576" s="271" t="s">
        <v>1107</v>
      </c>
      <c r="C576" s="219" t="s">
        <v>622</v>
      </c>
      <c r="D576" s="231"/>
      <c r="E576" s="221"/>
    </row>
    <row r="577" spans="1:5" ht="18">
      <c r="A577" s="1942" t="s">
        <v>394</v>
      </c>
      <c r="B577" s="271" t="s">
        <v>1108</v>
      </c>
      <c r="C577" s="219" t="s">
        <v>622</v>
      </c>
      <c r="D577" s="231"/>
      <c r="E577" s="221"/>
    </row>
    <row r="578" spans="1:5" ht="18">
      <c r="A578" s="1942" t="s">
        <v>395</v>
      </c>
      <c r="B578" s="272" t="s">
        <v>1109</v>
      </c>
      <c r="C578" s="219" t="s">
        <v>622</v>
      </c>
      <c r="D578" s="231"/>
      <c r="E578" s="221"/>
    </row>
    <row r="579" spans="1:5" ht="18">
      <c r="A579" s="1942" t="s">
        <v>396</v>
      </c>
      <c r="B579" s="271" t="s">
        <v>1110</v>
      </c>
      <c r="C579" s="219" t="s">
        <v>622</v>
      </c>
      <c r="D579" s="231"/>
      <c r="E579" s="221"/>
    </row>
    <row r="580" spans="1:5" ht="18">
      <c r="A580" s="1942" t="s">
        <v>397</v>
      </c>
      <c r="B580" s="271" t="s">
        <v>1111</v>
      </c>
      <c r="C580" s="219" t="s">
        <v>622</v>
      </c>
      <c r="D580" s="231"/>
      <c r="E580" s="221"/>
    </row>
    <row r="581" spans="1:5" ht="18">
      <c r="A581" s="1942" t="s">
        <v>398</v>
      </c>
      <c r="B581" s="271" t="s">
        <v>1112</v>
      </c>
      <c r="C581" s="219" t="s">
        <v>622</v>
      </c>
      <c r="D581" s="231"/>
      <c r="E581" s="221"/>
    </row>
    <row r="582" spans="1:5" ht="18">
      <c r="A582" s="1942" t="s">
        <v>399</v>
      </c>
      <c r="B582" s="271" t="s">
        <v>1113</v>
      </c>
      <c r="C582" s="219" t="s">
        <v>622</v>
      </c>
      <c r="D582" s="231"/>
      <c r="E582" s="221"/>
    </row>
    <row r="583" spans="1:5" ht="18">
      <c r="A583" s="1942" t="s">
        <v>400</v>
      </c>
      <c r="B583" s="271" t="s">
        <v>1114</v>
      </c>
      <c r="C583" s="219" t="s">
        <v>622</v>
      </c>
      <c r="D583" s="231"/>
      <c r="E583" s="221"/>
    </row>
    <row r="584" spans="1:5" ht="18">
      <c r="A584" s="1942" t="s">
        <v>401</v>
      </c>
      <c r="B584" s="271" t="s">
        <v>1115</v>
      </c>
      <c r="C584" s="219" t="s">
        <v>622</v>
      </c>
      <c r="D584" s="231"/>
      <c r="E584" s="221"/>
    </row>
    <row r="585" spans="1:5" ht="18">
      <c r="A585" s="1942" t="s">
        <v>402</v>
      </c>
      <c r="B585" s="271" t="s">
        <v>1116</v>
      </c>
      <c r="C585" s="219" t="s">
        <v>622</v>
      </c>
      <c r="D585" s="231"/>
      <c r="E585" s="221"/>
    </row>
    <row r="586" spans="1:5" ht="18">
      <c r="A586" s="1942" t="s">
        <v>403</v>
      </c>
      <c r="B586" s="271" t="s">
        <v>1117</v>
      </c>
      <c r="C586" s="219" t="s">
        <v>622</v>
      </c>
      <c r="D586" s="231"/>
      <c r="E586" s="221"/>
    </row>
    <row r="587" spans="1:5" ht="18.75" thickBot="1">
      <c r="A587" s="1942" t="s">
        <v>404</v>
      </c>
      <c r="B587" s="277" t="s">
        <v>1118</v>
      </c>
      <c r="C587" s="219" t="s">
        <v>622</v>
      </c>
      <c r="D587" s="233"/>
      <c r="E587" s="221"/>
    </row>
    <row r="588" spans="1:5" ht="18.75">
      <c r="A588" s="1942" t="s">
        <v>405</v>
      </c>
      <c r="B588" s="270" t="s">
        <v>1119</v>
      </c>
      <c r="C588" s="219" t="s">
        <v>622</v>
      </c>
      <c r="D588" s="231"/>
      <c r="E588" s="221"/>
    </row>
    <row r="589" spans="1:5" ht="18.75">
      <c r="A589" s="1942" t="s">
        <v>406</v>
      </c>
      <c r="B589" s="271" t="s">
        <v>1120</v>
      </c>
      <c r="C589" s="219" t="s">
        <v>622</v>
      </c>
      <c r="D589" s="231"/>
      <c r="E589" s="221"/>
    </row>
    <row r="590" spans="1:5" ht="18.75">
      <c r="A590" s="1942" t="s">
        <v>407</v>
      </c>
      <c r="B590" s="271" t="s">
        <v>1121</v>
      </c>
      <c r="C590" s="219" t="s">
        <v>622</v>
      </c>
      <c r="D590" s="231"/>
      <c r="E590" s="221"/>
    </row>
    <row r="591" spans="1:5" ht="18.75">
      <c r="A591" s="1942" t="s">
        <v>408</v>
      </c>
      <c r="B591" s="271" t="s">
        <v>1122</v>
      </c>
      <c r="C591" s="219" t="s">
        <v>622</v>
      </c>
      <c r="D591" s="231"/>
      <c r="E591" s="221"/>
    </row>
    <row r="592" spans="1:5" ht="19.5">
      <c r="A592" s="1942" t="s">
        <v>409</v>
      </c>
      <c r="B592" s="272" t="s">
        <v>1123</v>
      </c>
      <c r="C592" s="219" t="s">
        <v>622</v>
      </c>
      <c r="D592" s="231"/>
      <c r="E592" s="221"/>
    </row>
    <row r="593" spans="1:5" ht="18.75">
      <c r="A593" s="1942" t="s">
        <v>410</v>
      </c>
      <c r="B593" s="271" t="s">
        <v>1124</v>
      </c>
      <c r="C593" s="219" t="s">
        <v>622</v>
      </c>
      <c r="D593" s="231"/>
      <c r="E593" s="221"/>
    </row>
    <row r="594" spans="1:5" ht="19.5" thickBot="1">
      <c r="A594" s="1942" t="s">
        <v>411</v>
      </c>
      <c r="B594" s="274" t="s">
        <v>1125</v>
      </c>
      <c r="C594" s="219" t="s">
        <v>622</v>
      </c>
      <c r="D594" s="231"/>
      <c r="E594" s="221"/>
    </row>
    <row r="595" spans="1:5" ht="18.75">
      <c r="A595" s="1942" t="s">
        <v>412</v>
      </c>
      <c r="B595" s="270" t="s">
        <v>1126</v>
      </c>
      <c r="C595" s="219" t="s">
        <v>622</v>
      </c>
      <c r="D595" s="231"/>
      <c r="E595" s="221"/>
    </row>
    <row r="596" spans="1:5" ht="18.75">
      <c r="A596" s="1942" t="s">
        <v>413</v>
      </c>
      <c r="B596" s="271" t="s">
        <v>684</v>
      </c>
      <c r="C596" s="219" t="s">
        <v>622</v>
      </c>
      <c r="D596" s="231"/>
      <c r="E596" s="221"/>
    </row>
    <row r="597" spans="1:5" ht="18.75">
      <c r="A597" s="1942" t="s">
        <v>414</v>
      </c>
      <c r="B597" s="271" t="s">
        <v>1127</v>
      </c>
      <c r="C597" s="219" t="s">
        <v>622</v>
      </c>
      <c r="D597" s="231"/>
      <c r="E597" s="221"/>
    </row>
    <row r="598" spans="1:5" ht="18.75">
      <c r="A598" s="1942" t="s">
        <v>415</v>
      </c>
      <c r="B598" s="271" t="s">
        <v>1128</v>
      </c>
      <c r="C598" s="219" t="s">
        <v>622</v>
      </c>
      <c r="D598" s="231"/>
      <c r="E598" s="221"/>
    </row>
    <row r="599" spans="1:5" ht="18.75">
      <c r="A599" s="1942" t="s">
        <v>416</v>
      </c>
      <c r="B599" s="271" t="s">
        <v>1129</v>
      </c>
      <c r="C599" s="219" t="s">
        <v>622</v>
      </c>
      <c r="D599" s="231"/>
      <c r="E599" s="221"/>
    </row>
    <row r="600" spans="1:5" ht="19.5">
      <c r="A600" s="1942" t="s">
        <v>417</v>
      </c>
      <c r="B600" s="272" t="s">
        <v>1130</v>
      </c>
      <c r="C600" s="219" t="s">
        <v>622</v>
      </c>
      <c r="D600" s="231"/>
      <c r="E600" s="221"/>
    </row>
    <row r="601" spans="1:5" ht="18.75">
      <c r="A601" s="1942" t="s">
        <v>418</v>
      </c>
      <c r="B601" s="271" t="s">
        <v>1131</v>
      </c>
      <c r="C601" s="219" t="s">
        <v>622</v>
      </c>
      <c r="D601" s="231"/>
      <c r="E601" s="221"/>
    </row>
    <row r="602" spans="1:5" ht="19.5" thickBot="1">
      <c r="A602" s="1942" t="s">
        <v>419</v>
      </c>
      <c r="B602" s="274" t="s">
        <v>1132</v>
      </c>
      <c r="C602" s="219" t="s">
        <v>622</v>
      </c>
      <c r="D602" s="231"/>
      <c r="E602" s="221"/>
    </row>
    <row r="603" spans="1:5" ht="18.75">
      <c r="A603" s="1942" t="s">
        <v>420</v>
      </c>
      <c r="B603" s="270" t="s">
        <v>1133</v>
      </c>
      <c r="C603" s="219" t="s">
        <v>622</v>
      </c>
      <c r="D603" s="231"/>
      <c r="E603" s="221"/>
    </row>
    <row r="604" spans="1:5" ht="18.75">
      <c r="A604" s="1942" t="s">
        <v>421</v>
      </c>
      <c r="B604" s="271" t="s">
        <v>1134</v>
      </c>
      <c r="C604" s="219" t="s">
        <v>622</v>
      </c>
      <c r="D604" s="231"/>
      <c r="E604" s="221"/>
    </row>
    <row r="605" spans="1:5" ht="18.75">
      <c r="A605" s="1942" t="s">
        <v>422</v>
      </c>
      <c r="B605" s="271" t="s">
        <v>1135</v>
      </c>
      <c r="C605" s="219" t="s">
        <v>622</v>
      </c>
      <c r="D605" s="231"/>
      <c r="E605" s="221"/>
    </row>
    <row r="606" spans="1:5" ht="18.75">
      <c r="A606" s="1942" t="s">
        <v>423</v>
      </c>
      <c r="B606" s="271" t="s">
        <v>1136</v>
      </c>
      <c r="C606" s="219" t="s">
        <v>622</v>
      </c>
      <c r="D606" s="231"/>
      <c r="E606" s="221"/>
    </row>
    <row r="607" spans="1:5" ht="19.5">
      <c r="A607" s="1942" t="s">
        <v>424</v>
      </c>
      <c r="B607" s="272" t="s">
        <v>1137</v>
      </c>
      <c r="C607" s="219" t="s">
        <v>622</v>
      </c>
      <c r="D607" s="231"/>
      <c r="E607" s="221"/>
    </row>
    <row r="608" spans="1:5" ht="18.75">
      <c r="A608" s="1942" t="s">
        <v>425</v>
      </c>
      <c r="B608" s="271" t="s">
        <v>1138</v>
      </c>
      <c r="C608" s="219" t="s">
        <v>622</v>
      </c>
      <c r="D608" s="231"/>
      <c r="E608" s="221"/>
    </row>
    <row r="609" spans="1:5" ht="19.5" thickBot="1">
      <c r="A609" s="1942" t="s">
        <v>426</v>
      </c>
      <c r="B609" s="274" t="s">
        <v>1139</v>
      </c>
      <c r="C609" s="219" t="s">
        <v>622</v>
      </c>
      <c r="D609" s="231"/>
      <c r="E609" s="221"/>
    </row>
    <row r="610" spans="1:5" ht="18.75">
      <c r="A610" s="1942" t="s">
        <v>427</v>
      </c>
      <c r="B610" s="270" t="s">
        <v>1140</v>
      </c>
      <c r="C610" s="219" t="s">
        <v>622</v>
      </c>
      <c r="D610" s="231"/>
      <c r="E610" s="221"/>
    </row>
    <row r="611" spans="1:5" ht="18.75">
      <c r="A611" s="1942" t="s">
        <v>428</v>
      </c>
      <c r="B611" s="271" t="s">
        <v>1141</v>
      </c>
      <c r="C611" s="219" t="s">
        <v>622</v>
      </c>
      <c r="D611" s="231"/>
      <c r="E611" s="221"/>
    </row>
    <row r="612" spans="1:5" ht="19.5">
      <c r="A612" s="1942" t="s">
        <v>429</v>
      </c>
      <c r="B612" s="272" t="s">
        <v>1142</v>
      </c>
      <c r="C612" s="219" t="s">
        <v>622</v>
      </c>
      <c r="D612" s="231"/>
      <c r="E612" s="221"/>
    </row>
    <row r="613" spans="1:5" ht="19.5" thickBot="1">
      <c r="A613" s="1942" t="s">
        <v>430</v>
      </c>
      <c r="B613" s="274" t="s">
        <v>1143</v>
      </c>
      <c r="C613" s="219" t="s">
        <v>622</v>
      </c>
      <c r="D613" s="231"/>
      <c r="E613" s="221"/>
    </row>
    <row r="614" spans="1:5" ht="18.75">
      <c r="A614" s="1942" t="s">
        <v>431</v>
      </c>
      <c r="B614" s="270" t="s">
        <v>1144</v>
      </c>
      <c r="C614" s="219" t="s">
        <v>622</v>
      </c>
      <c r="D614" s="231"/>
      <c r="E614" s="221"/>
    </row>
    <row r="615" spans="1:5" ht="18.75">
      <c r="A615" s="1942" t="s">
        <v>432</v>
      </c>
      <c r="B615" s="271" t="s">
        <v>1145</v>
      </c>
      <c r="C615" s="219" t="s">
        <v>622</v>
      </c>
      <c r="D615" s="231"/>
      <c r="E615" s="221"/>
    </row>
    <row r="616" spans="1:5" ht="18.75">
      <c r="A616" s="1942" t="s">
        <v>433</v>
      </c>
      <c r="B616" s="271" t="s">
        <v>1146</v>
      </c>
      <c r="C616" s="219" t="s">
        <v>622</v>
      </c>
      <c r="D616" s="231"/>
      <c r="E616" s="221"/>
    </row>
    <row r="617" spans="1:5" ht="18.75">
      <c r="A617" s="1942" t="s">
        <v>434</v>
      </c>
      <c r="B617" s="271" t="s">
        <v>1147</v>
      </c>
      <c r="C617" s="219" t="s">
        <v>622</v>
      </c>
      <c r="D617" s="231"/>
      <c r="E617" s="221"/>
    </row>
    <row r="618" spans="1:5" ht="18.75">
      <c r="A618" s="1942" t="s">
        <v>435</v>
      </c>
      <c r="B618" s="271" t="s">
        <v>1148</v>
      </c>
      <c r="C618" s="219" t="s">
        <v>622</v>
      </c>
      <c r="D618" s="231"/>
      <c r="E618" s="221"/>
    </row>
    <row r="619" spans="1:5" ht="18.75">
      <c r="A619" s="1942" t="s">
        <v>436</v>
      </c>
      <c r="B619" s="271" t="s">
        <v>1149</v>
      </c>
      <c r="C619" s="219" t="s">
        <v>622</v>
      </c>
      <c r="D619" s="231"/>
      <c r="E619" s="221"/>
    </row>
    <row r="620" spans="1:5" ht="18.75">
      <c r="A620" s="1942" t="s">
        <v>437</v>
      </c>
      <c r="B620" s="271" t="s">
        <v>1150</v>
      </c>
      <c r="C620" s="219" t="s">
        <v>622</v>
      </c>
      <c r="D620" s="231"/>
      <c r="E620" s="221"/>
    </row>
    <row r="621" spans="1:5" ht="18.75">
      <c r="A621" s="1942" t="s">
        <v>438</v>
      </c>
      <c r="B621" s="271" t="s">
        <v>1151</v>
      </c>
      <c r="C621" s="219" t="s">
        <v>622</v>
      </c>
      <c r="D621" s="231"/>
      <c r="E621" s="221"/>
    </row>
    <row r="622" spans="1:5" ht="19.5">
      <c r="A622" s="1942" t="s">
        <v>439</v>
      </c>
      <c r="B622" s="272" t="s">
        <v>1152</v>
      </c>
      <c r="C622" s="219" t="s">
        <v>622</v>
      </c>
      <c r="D622" s="231"/>
      <c r="E622" s="221"/>
    </row>
    <row r="623" spans="1:5" ht="19.5" thickBot="1">
      <c r="A623" s="1942" t="s">
        <v>440</v>
      </c>
      <c r="B623" s="274" t="s">
        <v>1153</v>
      </c>
      <c r="C623" s="219" t="s">
        <v>622</v>
      </c>
      <c r="D623" s="231"/>
      <c r="E623" s="221"/>
    </row>
    <row r="624" spans="1:5" ht="18.75">
      <c r="A624" s="1942" t="s">
        <v>441</v>
      </c>
      <c r="B624" s="270" t="s">
        <v>1154</v>
      </c>
      <c r="C624" s="219" t="s">
        <v>622</v>
      </c>
      <c r="D624" s="231"/>
      <c r="E624" s="221"/>
    </row>
    <row r="625" spans="1:5" ht="18.75">
      <c r="A625" s="1942" t="s">
        <v>442</v>
      </c>
      <c r="B625" s="271" t="s">
        <v>1155</v>
      </c>
      <c r="C625" s="219" t="s">
        <v>622</v>
      </c>
      <c r="D625" s="231"/>
      <c r="E625" s="221"/>
    </row>
    <row r="626" spans="1:5" ht="18.75">
      <c r="A626" s="1942" t="s">
        <v>443</v>
      </c>
      <c r="B626" s="271" t="s">
        <v>1156</v>
      </c>
      <c r="C626" s="219" t="s">
        <v>622</v>
      </c>
      <c r="D626" s="231"/>
      <c r="E626" s="221"/>
    </row>
    <row r="627" spans="1:5" ht="18.75">
      <c r="A627" s="1942" t="s">
        <v>444</v>
      </c>
      <c r="B627" s="271" t="s">
        <v>1157</v>
      </c>
      <c r="C627" s="219" t="s">
        <v>622</v>
      </c>
      <c r="D627" s="231"/>
      <c r="E627" s="221"/>
    </row>
    <row r="628" spans="1:5" ht="18.75">
      <c r="A628" s="1942" t="s">
        <v>445</v>
      </c>
      <c r="B628" s="271" t="s">
        <v>1158</v>
      </c>
      <c r="C628" s="219" t="s">
        <v>622</v>
      </c>
      <c r="D628" s="231"/>
      <c r="E628" s="221"/>
    </row>
    <row r="629" spans="1:5" ht="18.75">
      <c r="A629" s="1942" t="s">
        <v>446</v>
      </c>
      <c r="B629" s="271" t="s">
        <v>1159</v>
      </c>
      <c r="C629" s="219" t="s">
        <v>622</v>
      </c>
      <c r="D629" s="231"/>
      <c r="E629" s="221"/>
    </row>
    <row r="630" spans="1:5" ht="18.75">
      <c r="A630" s="1942" t="s">
        <v>447</v>
      </c>
      <c r="B630" s="271" t="s">
        <v>1160</v>
      </c>
      <c r="C630" s="219" t="s">
        <v>622</v>
      </c>
      <c r="D630" s="231"/>
      <c r="E630" s="221"/>
    </row>
    <row r="631" spans="1:5" ht="18.75">
      <c r="A631" s="1942" t="s">
        <v>448</v>
      </c>
      <c r="B631" s="271" t="s">
        <v>1161</v>
      </c>
      <c r="C631" s="219" t="s">
        <v>622</v>
      </c>
      <c r="D631" s="231"/>
      <c r="E631" s="221"/>
    </row>
    <row r="632" spans="1:5" ht="18.75">
      <c r="A632" s="1942" t="s">
        <v>449</v>
      </c>
      <c r="B632" s="271" t="s">
        <v>1162</v>
      </c>
      <c r="C632" s="219" t="s">
        <v>622</v>
      </c>
      <c r="D632" s="231"/>
      <c r="E632" s="221"/>
    </row>
    <row r="633" spans="1:5" ht="18.75">
      <c r="A633" s="1942" t="s">
        <v>450</v>
      </c>
      <c r="B633" s="271" t="s">
        <v>1163</v>
      </c>
      <c r="C633" s="219" t="s">
        <v>622</v>
      </c>
      <c r="D633" s="231"/>
      <c r="E633" s="221"/>
    </row>
    <row r="634" spans="1:5" ht="18.75">
      <c r="A634" s="1942" t="s">
        <v>451</v>
      </c>
      <c r="B634" s="271" t="s">
        <v>1164</v>
      </c>
      <c r="C634" s="219" t="s">
        <v>622</v>
      </c>
      <c r="D634" s="231"/>
      <c r="E634" s="221"/>
    </row>
    <row r="635" spans="1:5" ht="18.75">
      <c r="A635" s="1942" t="s">
        <v>452</v>
      </c>
      <c r="B635" s="271" t="s">
        <v>1165</v>
      </c>
      <c r="C635" s="219" t="s">
        <v>622</v>
      </c>
      <c r="D635" s="231"/>
      <c r="E635" s="221"/>
    </row>
    <row r="636" spans="1:5" ht="18.75">
      <c r="A636" s="1942" t="s">
        <v>453</v>
      </c>
      <c r="B636" s="271" t="s">
        <v>1166</v>
      </c>
      <c r="C636" s="219" t="s">
        <v>622</v>
      </c>
      <c r="D636" s="231"/>
      <c r="E636" s="221"/>
    </row>
    <row r="637" spans="1:5" ht="18.75">
      <c r="A637" s="1942" t="s">
        <v>454</v>
      </c>
      <c r="B637" s="271" t="s">
        <v>1167</v>
      </c>
      <c r="C637" s="219" t="s">
        <v>622</v>
      </c>
      <c r="D637" s="231"/>
      <c r="E637" s="221"/>
    </row>
    <row r="638" spans="1:5" ht="18.75">
      <c r="A638" s="1942" t="s">
        <v>455</v>
      </c>
      <c r="B638" s="271" t="s">
        <v>1168</v>
      </c>
      <c r="C638" s="219" t="s">
        <v>622</v>
      </c>
      <c r="D638" s="231"/>
      <c r="E638" s="221"/>
    </row>
    <row r="639" spans="1:5" ht="18.75">
      <c r="A639" s="1942" t="s">
        <v>456</v>
      </c>
      <c r="B639" s="271" t="s">
        <v>1169</v>
      </c>
      <c r="C639" s="219" t="s">
        <v>622</v>
      </c>
      <c r="D639" s="231"/>
      <c r="E639" s="221"/>
    </row>
    <row r="640" spans="1:5" ht="18.75">
      <c r="A640" s="1942" t="s">
        <v>457</v>
      </c>
      <c r="B640" s="271" t="s">
        <v>1170</v>
      </c>
      <c r="C640" s="219" t="s">
        <v>622</v>
      </c>
      <c r="D640" s="231"/>
      <c r="E640" s="221"/>
    </row>
    <row r="641" spans="1:5" ht="18.75">
      <c r="A641" s="1942" t="s">
        <v>458</v>
      </c>
      <c r="B641" s="271" t="s">
        <v>1171</v>
      </c>
      <c r="C641" s="219" t="s">
        <v>622</v>
      </c>
      <c r="D641" s="231"/>
      <c r="E641" s="221"/>
    </row>
    <row r="642" spans="1:5" ht="18.75">
      <c r="A642" s="1942" t="s">
        <v>459</v>
      </c>
      <c r="B642" s="271" t="s">
        <v>1172</v>
      </c>
      <c r="C642" s="219" t="s">
        <v>622</v>
      </c>
      <c r="D642" s="231"/>
      <c r="E642" s="221"/>
    </row>
    <row r="643" spans="1:5" ht="18.75">
      <c r="A643" s="1942" t="s">
        <v>460</v>
      </c>
      <c r="B643" s="271" t="s">
        <v>1173</v>
      </c>
      <c r="C643" s="219" t="s">
        <v>622</v>
      </c>
      <c r="D643" s="231"/>
      <c r="E643" s="221"/>
    </row>
    <row r="644" spans="1:5" ht="18.75">
      <c r="A644" s="1942" t="s">
        <v>461</v>
      </c>
      <c r="B644" s="271" t="s">
        <v>1174</v>
      </c>
      <c r="C644" s="219" t="s">
        <v>622</v>
      </c>
      <c r="D644" s="231"/>
      <c r="E644" s="221"/>
    </row>
    <row r="645" spans="1:5" ht="18.75">
      <c r="A645" s="1942" t="s">
        <v>462</v>
      </c>
      <c r="B645" s="271" t="s">
        <v>1175</v>
      </c>
      <c r="C645" s="219" t="s">
        <v>622</v>
      </c>
      <c r="D645" s="231"/>
      <c r="E645" s="221"/>
    </row>
    <row r="646" spans="1:5" ht="18.75">
      <c r="A646" s="1942" t="s">
        <v>463</v>
      </c>
      <c r="B646" s="271" t="s">
        <v>1176</v>
      </c>
      <c r="C646" s="219" t="s">
        <v>622</v>
      </c>
      <c r="D646" s="231"/>
      <c r="E646" s="221"/>
    </row>
    <row r="647" spans="1:5" ht="18.75">
      <c r="A647" s="1942" t="s">
        <v>464</v>
      </c>
      <c r="B647" s="271" t="s">
        <v>1177</v>
      </c>
      <c r="C647" s="219" t="s">
        <v>622</v>
      </c>
      <c r="D647" s="231"/>
      <c r="E647" s="221"/>
    </row>
    <row r="648" spans="1:5" ht="20.25" thickBot="1">
      <c r="A648" s="1942" t="s">
        <v>465</v>
      </c>
      <c r="B648" s="278" t="s">
        <v>1178</v>
      </c>
      <c r="C648" s="219" t="s">
        <v>622</v>
      </c>
      <c r="D648" s="231"/>
      <c r="E648" s="221"/>
    </row>
    <row r="649" spans="1:5" ht="18.75">
      <c r="A649" s="1942" t="s">
        <v>466</v>
      </c>
      <c r="B649" s="270" t="s">
        <v>1179</v>
      </c>
      <c r="C649" s="219" t="s">
        <v>622</v>
      </c>
      <c r="D649" s="231"/>
      <c r="E649" s="221"/>
    </row>
    <row r="650" spans="1:5" ht="18.75">
      <c r="A650" s="1942" t="s">
        <v>467</v>
      </c>
      <c r="B650" s="271" t="s">
        <v>1180</v>
      </c>
      <c r="C650" s="219" t="s">
        <v>622</v>
      </c>
      <c r="D650" s="231"/>
      <c r="E650" s="221"/>
    </row>
    <row r="651" spans="1:5" ht="18.75">
      <c r="A651" s="1942" t="s">
        <v>468</v>
      </c>
      <c r="B651" s="271" t="s">
        <v>1181</v>
      </c>
      <c r="C651" s="219" t="s">
        <v>622</v>
      </c>
      <c r="D651" s="231"/>
      <c r="E651" s="221"/>
    </row>
    <row r="652" spans="1:5" ht="18.75">
      <c r="A652" s="1942" t="s">
        <v>469</v>
      </c>
      <c r="B652" s="271" t="s">
        <v>764</v>
      </c>
      <c r="C652" s="219" t="s">
        <v>622</v>
      </c>
      <c r="D652" s="231"/>
      <c r="E652" s="221"/>
    </row>
    <row r="653" spans="1:5" ht="18.75">
      <c r="A653" s="1942" t="s">
        <v>470</v>
      </c>
      <c r="B653" s="271" t="s">
        <v>765</v>
      </c>
      <c r="C653" s="219" t="s">
        <v>622</v>
      </c>
      <c r="D653" s="231"/>
      <c r="E653" s="221"/>
    </row>
    <row r="654" spans="1:5" ht="18.75">
      <c r="A654" s="1942" t="s">
        <v>471</v>
      </c>
      <c r="B654" s="271" t="s">
        <v>1937</v>
      </c>
      <c r="C654" s="219" t="s">
        <v>622</v>
      </c>
      <c r="D654" s="231"/>
      <c r="E654" s="221"/>
    </row>
    <row r="655" spans="1:5" ht="18.75">
      <c r="A655" s="1942" t="s">
        <v>472</v>
      </c>
      <c r="B655" s="271" t="s">
        <v>1938</v>
      </c>
      <c r="C655" s="219" t="s">
        <v>622</v>
      </c>
      <c r="D655" s="231"/>
      <c r="E655" s="221"/>
    </row>
    <row r="656" spans="1:5" ht="18.75">
      <c r="A656" s="1942" t="s">
        <v>473</v>
      </c>
      <c r="B656" s="271" t="s">
        <v>1939</v>
      </c>
      <c r="C656" s="219" t="s">
        <v>622</v>
      </c>
      <c r="D656" s="231"/>
      <c r="E656" s="221"/>
    </row>
    <row r="657" spans="1:5" ht="18.75">
      <c r="A657" s="1942" t="s">
        <v>474</v>
      </c>
      <c r="B657" s="271" t="s">
        <v>1940</v>
      </c>
      <c r="C657" s="219" t="s">
        <v>622</v>
      </c>
      <c r="D657" s="231"/>
      <c r="E657" s="221"/>
    </row>
    <row r="658" spans="1:5" ht="18.75">
      <c r="A658" s="1942" t="s">
        <v>475</v>
      </c>
      <c r="B658" s="271" t="s">
        <v>1941</v>
      </c>
      <c r="C658" s="219" t="s">
        <v>622</v>
      </c>
      <c r="D658" s="231"/>
      <c r="E658" s="221"/>
    </row>
    <row r="659" spans="1:5" ht="18.75">
      <c r="A659" s="1942" t="s">
        <v>476</v>
      </c>
      <c r="B659" s="271" t="s">
        <v>1942</v>
      </c>
      <c r="C659" s="219" t="s">
        <v>622</v>
      </c>
      <c r="D659" s="231"/>
      <c r="E659" s="221"/>
    </row>
    <row r="660" spans="1:5" ht="18.75">
      <c r="A660" s="1942" t="s">
        <v>477</v>
      </c>
      <c r="B660" s="271" t="s">
        <v>1943</v>
      </c>
      <c r="C660" s="219" t="s">
        <v>622</v>
      </c>
      <c r="D660" s="231"/>
      <c r="E660" s="221"/>
    </row>
    <row r="661" spans="1:5" ht="18.75">
      <c r="A661" s="1942" t="s">
        <v>478</v>
      </c>
      <c r="B661" s="271" t="s">
        <v>1944</v>
      </c>
      <c r="C661" s="219" t="s">
        <v>622</v>
      </c>
      <c r="D661" s="231"/>
      <c r="E661" s="221"/>
    </row>
    <row r="662" spans="1:5" ht="18.75">
      <c r="A662" s="1942" t="s">
        <v>479</v>
      </c>
      <c r="B662" s="271" t="s">
        <v>1945</v>
      </c>
      <c r="C662" s="219" t="s">
        <v>622</v>
      </c>
      <c r="D662" s="231"/>
      <c r="E662" s="221"/>
    </row>
    <row r="663" spans="1:5" ht="18.75">
      <c r="A663" s="1942" t="s">
        <v>480</v>
      </c>
      <c r="B663" s="271" t="s">
        <v>1946</v>
      </c>
      <c r="C663" s="219" t="s">
        <v>622</v>
      </c>
      <c r="D663" s="231"/>
      <c r="E663" s="221"/>
    </row>
    <row r="664" spans="1:5" ht="18.75">
      <c r="A664" s="1942" t="s">
        <v>481</v>
      </c>
      <c r="B664" s="271" t="s">
        <v>1947</v>
      </c>
      <c r="C664" s="219" t="s">
        <v>622</v>
      </c>
      <c r="D664" s="231"/>
      <c r="E664" s="221"/>
    </row>
    <row r="665" spans="1:5" ht="18.75">
      <c r="A665" s="1942" t="s">
        <v>482</v>
      </c>
      <c r="B665" s="271" t="s">
        <v>1948</v>
      </c>
      <c r="C665" s="219" t="s">
        <v>622</v>
      </c>
      <c r="D665" s="231"/>
      <c r="E665" s="221"/>
    </row>
    <row r="666" spans="1:5" ht="18.75">
      <c r="A666" s="1942" t="s">
        <v>483</v>
      </c>
      <c r="B666" s="271" t="s">
        <v>1949</v>
      </c>
      <c r="C666" s="219" t="s">
        <v>622</v>
      </c>
      <c r="D666" s="231"/>
      <c r="E666" s="221"/>
    </row>
    <row r="667" spans="1:5" ht="18.75">
      <c r="A667" s="1942" t="s">
        <v>484</v>
      </c>
      <c r="B667" s="271" t="s">
        <v>1950</v>
      </c>
      <c r="C667" s="219" t="s">
        <v>622</v>
      </c>
      <c r="D667" s="231"/>
      <c r="E667" s="221"/>
    </row>
    <row r="668" spans="1:5" ht="18.75">
      <c r="A668" s="1942" t="s">
        <v>485</v>
      </c>
      <c r="B668" s="271" t="s">
        <v>1951</v>
      </c>
      <c r="C668" s="219" t="s">
        <v>622</v>
      </c>
      <c r="D668" s="231"/>
      <c r="E668" s="221"/>
    </row>
    <row r="669" spans="1:5" ht="18.75">
      <c r="A669" s="1942" t="s">
        <v>486</v>
      </c>
      <c r="B669" s="271" t="s">
        <v>1952</v>
      </c>
      <c r="C669" s="219" t="s">
        <v>622</v>
      </c>
      <c r="D669" s="231"/>
      <c r="E669" s="221"/>
    </row>
    <row r="670" spans="1:5" ht="19.5" thickBot="1">
      <c r="A670" s="1942" t="s">
        <v>487</v>
      </c>
      <c r="B670" s="274" t="s">
        <v>1953</v>
      </c>
      <c r="C670" s="219" t="s">
        <v>622</v>
      </c>
      <c r="D670" s="231"/>
      <c r="E670" s="221"/>
    </row>
    <row r="671" spans="1:5" ht="18.75">
      <c r="A671" s="1942" t="s">
        <v>488</v>
      </c>
      <c r="B671" s="270" t="s">
        <v>1954</v>
      </c>
      <c r="C671" s="219" t="s">
        <v>622</v>
      </c>
      <c r="D671" s="231"/>
      <c r="E671" s="221"/>
    </row>
    <row r="672" spans="1:5" ht="18.75">
      <c r="A672" s="1942" t="s">
        <v>489</v>
      </c>
      <c r="B672" s="271" t="s">
        <v>1955</v>
      </c>
      <c r="C672" s="219" t="s">
        <v>622</v>
      </c>
      <c r="D672" s="231"/>
      <c r="E672" s="221"/>
    </row>
    <row r="673" spans="1:5" ht="18.75">
      <c r="A673" s="1942" t="s">
        <v>490</v>
      </c>
      <c r="B673" s="271" t="s">
        <v>1956</v>
      </c>
      <c r="C673" s="219" t="s">
        <v>622</v>
      </c>
      <c r="D673" s="231"/>
      <c r="E673" s="221"/>
    </row>
    <row r="674" spans="1:5" ht="18.75">
      <c r="A674" s="1942" t="s">
        <v>491</v>
      </c>
      <c r="B674" s="271" t="s">
        <v>1957</v>
      </c>
      <c r="C674" s="219" t="s">
        <v>622</v>
      </c>
      <c r="D674" s="231"/>
      <c r="E674" s="221"/>
    </row>
    <row r="675" spans="1:5" ht="18.75">
      <c r="A675" s="1942" t="s">
        <v>492</v>
      </c>
      <c r="B675" s="271" t="s">
        <v>1958</v>
      </c>
      <c r="C675" s="219" t="s">
        <v>622</v>
      </c>
      <c r="D675" s="231"/>
      <c r="E675" s="221"/>
    </row>
    <row r="676" spans="1:5" ht="18.75">
      <c r="A676" s="1942" t="s">
        <v>493</v>
      </c>
      <c r="B676" s="271" t="s">
        <v>1959</v>
      </c>
      <c r="C676" s="219" t="s">
        <v>622</v>
      </c>
      <c r="D676" s="231"/>
      <c r="E676" s="221"/>
    </row>
    <row r="677" spans="1:5" ht="18.75">
      <c r="A677" s="1942" t="s">
        <v>494</v>
      </c>
      <c r="B677" s="271" t="s">
        <v>1960</v>
      </c>
      <c r="C677" s="219" t="s">
        <v>622</v>
      </c>
      <c r="D677" s="231"/>
      <c r="E677" s="221"/>
    </row>
    <row r="678" spans="1:5" ht="18.75">
      <c r="A678" s="1942" t="s">
        <v>495</v>
      </c>
      <c r="B678" s="271" t="s">
        <v>1961</v>
      </c>
      <c r="C678" s="219" t="s">
        <v>622</v>
      </c>
      <c r="D678" s="231"/>
      <c r="E678" s="221"/>
    </row>
    <row r="679" spans="1:5" ht="18.75">
      <c r="A679" s="1942" t="s">
        <v>496</v>
      </c>
      <c r="B679" s="271" t="s">
        <v>1962</v>
      </c>
      <c r="C679" s="219" t="s">
        <v>622</v>
      </c>
      <c r="D679" s="231"/>
      <c r="E679" s="221"/>
    </row>
    <row r="680" spans="1:5" ht="19.5">
      <c r="A680" s="1942" t="s">
        <v>497</v>
      </c>
      <c r="B680" s="272" t="s">
        <v>1963</v>
      </c>
      <c r="C680" s="219" t="s">
        <v>622</v>
      </c>
      <c r="D680" s="231"/>
      <c r="E680" s="221"/>
    </row>
    <row r="681" spans="1:5" ht="19.5" thickBot="1">
      <c r="A681" s="1942" t="s">
        <v>498</v>
      </c>
      <c r="B681" s="274" t="s">
        <v>1964</v>
      </c>
      <c r="C681" s="219" t="s">
        <v>622</v>
      </c>
      <c r="D681" s="231"/>
      <c r="E681" s="221"/>
    </row>
    <row r="682" spans="1:5" ht="18.75">
      <c r="A682" s="1942" t="s">
        <v>499</v>
      </c>
      <c r="B682" s="270" t="s">
        <v>1965</v>
      </c>
      <c r="C682" s="219" t="s">
        <v>622</v>
      </c>
      <c r="D682" s="231"/>
      <c r="E682" s="221"/>
    </row>
    <row r="683" spans="1:5" ht="18.75">
      <c r="A683" s="1942" t="s">
        <v>500</v>
      </c>
      <c r="B683" s="271" t="s">
        <v>1966</v>
      </c>
      <c r="C683" s="219" t="s">
        <v>622</v>
      </c>
      <c r="D683" s="231"/>
      <c r="E683" s="221"/>
    </row>
    <row r="684" spans="1:5" ht="18.75">
      <c r="A684" s="1942" t="s">
        <v>501</v>
      </c>
      <c r="B684" s="271" t="s">
        <v>1967</v>
      </c>
      <c r="C684" s="219" t="s">
        <v>622</v>
      </c>
      <c r="D684" s="231"/>
      <c r="E684" s="221"/>
    </row>
    <row r="685" spans="1:5" ht="18.75">
      <c r="A685" s="1942" t="s">
        <v>502</v>
      </c>
      <c r="B685" s="271" t="s">
        <v>1968</v>
      </c>
      <c r="C685" s="219" t="s">
        <v>622</v>
      </c>
      <c r="D685" s="231"/>
      <c r="E685" s="221"/>
    </row>
    <row r="686" spans="1:5" ht="20.25" thickBot="1">
      <c r="A686" s="1942" t="s">
        <v>503</v>
      </c>
      <c r="B686" s="278" t="s">
        <v>1969</v>
      </c>
      <c r="C686" s="219" t="s">
        <v>622</v>
      </c>
      <c r="D686" s="231"/>
      <c r="E686" s="221"/>
    </row>
    <row r="687" spans="1:5" ht="18.75">
      <c r="A687" s="1942" t="s">
        <v>504</v>
      </c>
      <c r="B687" s="270" t="s">
        <v>1970</v>
      </c>
      <c r="C687" s="219" t="s">
        <v>622</v>
      </c>
      <c r="D687" s="231"/>
      <c r="E687" s="221"/>
    </row>
    <row r="688" spans="1:5" ht="18.75">
      <c r="A688" s="1942" t="s">
        <v>505</v>
      </c>
      <c r="B688" s="271" t="s">
        <v>1971</v>
      </c>
      <c r="C688" s="219" t="s">
        <v>622</v>
      </c>
      <c r="D688" s="231"/>
      <c r="E688" s="221"/>
    </row>
    <row r="689" spans="1:5" ht="18.75">
      <c r="A689" s="1942" t="s">
        <v>506</v>
      </c>
      <c r="B689" s="271" t="s">
        <v>1972</v>
      </c>
      <c r="C689" s="219" t="s">
        <v>622</v>
      </c>
      <c r="D689" s="231"/>
      <c r="E689" s="221"/>
    </row>
    <row r="690" spans="1:5" ht="18.75">
      <c r="A690" s="1942" t="s">
        <v>507</v>
      </c>
      <c r="B690" s="271" t="s">
        <v>1973</v>
      </c>
      <c r="C690" s="219" t="s">
        <v>622</v>
      </c>
      <c r="D690" s="231"/>
      <c r="E690" s="221"/>
    </row>
    <row r="691" spans="1:5" ht="18.75">
      <c r="A691" s="1942" t="s">
        <v>508</v>
      </c>
      <c r="B691" s="271" t="s">
        <v>1974</v>
      </c>
      <c r="C691" s="219" t="s">
        <v>622</v>
      </c>
      <c r="D691" s="231"/>
      <c r="E691" s="221"/>
    </row>
    <row r="692" spans="1:5" ht="18.75">
      <c r="A692" s="1942" t="s">
        <v>509</v>
      </c>
      <c r="B692" s="271" t="s">
        <v>1975</v>
      </c>
      <c r="C692" s="219" t="s">
        <v>622</v>
      </c>
      <c r="D692" s="231"/>
      <c r="E692" s="221"/>
    </row>
    <row r="693" spans="1:5" ht="18.75">
      <c r="A693" s="1942" t="s">
        <v>510</v>
      </c>
      <c r="B693" s="271" t="s">
        <v>1976</v>
      </c>
      <c r="C693" s="219" t="s">
        <v>622</v>
      </c>
      <c r="D693" s="231"/>
      <c r="E693" s="221"/>
    </row>
    <row r="694" spans="1:5" ht="18.75">
      <c r="A694" s="1942" t="s">
        <v>511</v>
      </c>
      <c r="B694" s="271" t="s">
        <v>1977</v>
      </c>
      <c r="C694" s="219" t="s">
        <v>622</v>
      </c>
      <c r="D694" s="231"/>
      <c r="E694" s="221"/>
    </row>
    <row r="695" spans="1:5" ht="18.75">
      <c r="A695" s="1942" t="s">
        <v>512</v>
      </c>
      <c r="B695" s="271" t="s">
        <v>1978</v>
      </c>
      <c r="C695" s="219" t="s">
        <v>622</v>
      </c>
      <c r="D695" s="231"/>
      <c r="E695" s="221"/>
    </row>
    <row r="696" spans="1:5" ht="18.75">
      <c r="A696" s="1942" t="s">
        <v>513</v>
      </c>
      <c r="B696" s="271" t="s">
        <v>1979</v>
      </c>
      <c r="C696" s="219" t="s">
        <v>622</v>
      </c>
      <c r="D696" s="231"/>
      <c r="E696" s="221"/>
    </row>
    <row r="697" spans="1:5" ht="20.25" thickBot="1">
      <c r="A697" s="1942" t="s">
        <v>514</v>
      </c>
      <c r="B697" s="278" t="s">
        <v>1980</v>
      </c>
      <c r="C697" s="219" t="s">
        <v>622</v>
      </c>
      <c r="D697" s="231"/>
      <c r="E697" s="221"/>
    </row>
    <row r="698" spans="1:5" ht="18.75">
      <c r="A698" s="1942" t="s">
        <v>515</v>
      </c>
      <c r="B698" s="270" t="s">
        <v>1981</v>
      </c>
      <c r="C698" s="219" t="s">
        <v>622</v>
      </c>
      <c r="D698" s="231"/>
      <c r="E698" s="221"/>
    </row>
    <row r="699" spans="1:5" ht="18.75">
      <c r="A699" s="1942" t="s">
        <v>2067</v>
      </c>
      <c r="B699" s="271" t="s">
        <v>1982</v>
      </c>
      <c r="C699" s="219" t="s">
        <v>622</v>
      </c>
      <c r="D699" s="231"/>
      <c r="E699" s="221"/>
    </row>
    <row r="700" spans="1:5" ht="18.75">
      <c r="A700" s="1942" t="s">
        <v>2068</v>
      </c>
      <c r="B700" s="271" t="s">
        <v>1983</v>
      </c>
      <c r="C700" s="219" t="s">
        <v>622</v>
      </c>
      <c r="D700" s="231"/>
      <c r="E700" s="221"/>
    </row>
    <row r="701" spans="1:5" ht="18.75">
      <c r="A701" s="1942" t="s">
        <v>2069</v>
      </c>
      <c r="B701" s="271" t="s">
        <v>1984</v>
      </c>
      <c r="C701" s="219" t="s">
        <v>622</v>
      </c>
      <c r="D701" s="231"/>
      <c r="E701" s="221"/>
    </row>
    <row r="702" spans="1:5" ht="18.75">
      <c r="A702" s="1942" t="s">
        <v>2070</v>
      </c>
      <c r="B702" s="271" t="s">
        <v>1985</v>
      </c>
      <c r="C702" s="219" t="s">
        <v>622</v>
      </c>
      <c r="D702" s="231"/>
      <c r="E702" s="221"/>
    </row>
    <row r="703" spans="1:5" ht="18.75">
      <c r="A703" s="1942" t="s">
        <v>2071</v>
      </c>
      <c r="B703" s="271" t="s">
        <v>1986</v>
      </c>
      <c r="C703" s="219" t="s">
        <v>622</v>
      </c>
      <c r="D703" s="231"/>
      <c r="E703" s="221"/>
    </row>
    <row r="704" spans="1:5" ht="18.75">
      <c r="A704" s="1942" t="s">
        <v>2072</v>
      </c>
      <c r="B704" s="271" t="s">
        <v>1987</v>
      </c>
      <c r="C704" s="219" t="s">
        <v>622</v>
      </c>
      <c r="D704" s="231"/>
      <c r="E704" s="221"/>
    </row>
    <row r="705" spans="1:5" ht="18.75">
      <c r="A705" s="1942" t="s">
        <v>2073</v>
      </c>
      <c r="B705" s="271" t="s">
        <v>1988</v>
      </c>
      <c r="C705" s="219" t="s">
        <v>622</v>
      </c>
      <c r="D705" s="231"/>
      <c r="E705" s="221"/>
    </row>
    <row r="706" spans="1:5" ht="18.75">
      <c r="A706" s="1942" t="s">
        <v>2074</v>
      </c>
      <c r="B706" s="271" t="s">
        <v>1989</v>
      </c>
      <c r="C706" s="219" t="s">
        <v>622</v>
      </c>
      <c r="D706" s="231"/>
      <c r="E706" s="221"/>
    </row>
    <row r="707" spans="1:5" ht="20.25" thickBot="1">
      <c r="A707" s="1942" t="s">
        <v>2075</v>
      </c>
      <c r="B707" s="278" t="s">
        <v>1990</v>
      </c>
      <c r="C707" s="219" t="s">
        <v>622</v>
      </c>
      <c r="D707" s="231"/>
      <c r="E707" s="221"/>
    </row>
    <row r="708" spans="1:5" ht="18.75">
      <c r="A708" s="1942" t="s">
        <v>2076</v>
      </c>
      <c r="B708" s="270" t="s">
        <v>1991</v>
      </c>
      <c r="C708" s="219" t="s">
        <v>622</v>
      </c>
      <c r="D708" s="231"/>
      <c r="E708" s="221"/>
    </row>
    <row r="709" spans="1:5" ht="18.75">
      <c r="A709" s="1942" t="s">
        <v>2077</v>
      </c>
      <c r="B709" s="271" t="s">
        <v>1992</v>
      </c>
      <c r="C709" s="219" t="s">
        <v>622</v>
      </c>
      <c r="D709" s="231"/>
      <c r="E709" s="221"/>
    </row>
    <row r="710" spans="1:5" ht="18.75">
      <c r="A710" s="1942" t="s">
        <v>2078</v>
      </c>
      <c r="B710" s="271" t="s">
        <v>1993</v>
      </c>
      <c r="C710" s="219" t="s">
        <v>622</v>
      </c>
      <c r="D710" s="231"/>
      <c r="E710" s="221"/>
    </row>
    <row r="711" spans="1:5" ht="18.75">
      <c r="A711" s="1942" t="s">
        <v>2079</v>
      </c>
      <c r="B711" s="271" t="s">
        <v>1994</v>
      </c>
      <c r="C711" s="219" t="s">
        <v>622</v>
      </c>
      <c r="D711" s="231"/>
      <c r="E711" s="221"/>
    </row>
    <row r="712" spans="1:5" ht="20.25" thickBot="1">
      <c r="A712" s="1942" t="s">
        <v>2080</v>
      </c>
      <c r="B712" s="278" t="s">
        <v>1995</v>
      </c>
      <c r="C712" s="219" t="s">
        <v>622</v>
      </c>
      <c r="D712" s="231"/>
      <c r="E712" s="221"/>
    </row>
    <row r="713" spans="1:5" ht="19.5">
      <c r="A713" s="231"/>
      <c r="B713" s="237"/>
      <c r="C713" s="219"/>
      <c r="D713" s="231"/>
      <c r="E713" s="221"/>
    </row>
    <row r="714" spans="1:5" ht="14.25">
      <c r="A714" s="279" t="s">
        <v>1218</v>
      </c>
      <c r="B714" s="280" t="s">
        <v>1217</v>
      </c>
      <c r="C714" s="1951" t="s">
        <v>1218</v>
      </c>
      <c r="D714" s="228"/>
      <c r="E714" s="228"/>
    </row>
    <row r="715" spans="1:5" ht="14.25">
      <c r="A715" s="1949"/>
      <c r="B715" s="1950">
        <v>43131</v>
      </c>
      <c r="C715" s="1949" t="s">
        <v>2081</v>
      </c>
      <c r="D715" s="228"/>
      <c r="E715" s="228"/>
    </row>
    <row r="716" spans="1:5" ht="14.25">
      <c r="A716" s="1949"/>
      <c r="B716" s="1950">
        <v>43159</v>
      </c>
      <c r="C716" s="1949" t="s">
        <v>2082</v>
      </c>
      <c r="D716" s="228"/>
      <c r="E716" s="228"/>
    </row>
    <row r="717" spans="1:5" ht="14.25">
      <c r="A717" s="1949"/>
      <c r="B717" s="1950">
        <v>43190</v>
      </c>
      <c r="C717" s="1949" t="s">
        <v>2083</v>
      </c>
      <c r="D717" s="228"/>
      <c r="E717" s="228"/>
    </row>
    <row r="718" spans="1:3" ht="14.25">
      <c r="A718" s="1949"/>
      <c r="B718" s="1950">
        <v>43220</v>
      </c>
      <c r="C718" s="1949" t="s">
        <v>2084</v>
      </c>
    </row>
    <row r="719" spans="1:3" ht="14.25">
      <c r="A719" s="1949"/>
      <c r="B719" s="1950">
        <v>43251</v>
      </c>
      <c r="C719" s="1949" t="s">
        <v>2085</v>
      </c>
    </row>
    <row r="720" spans="1:3" ht="14.25">
      <c r="A720" s="1949"/>
      <c r="B720" s="1950">
        <v>43281</v>
      </c>
      <c r="C720" s="1949" t="s">
        <v>2086</v>
      </c>
    </row>
    <row r="721" spans="1:3" ht="14.25">
      <c r="A721" s="1949"/>
      <c r="B721" s="1950">
        <v>43312</v>
      </c>
      <c r="C721" s="1949" t="s">
        <v>2087</v>
      </c>
    </row>
    <row r="722" spans="1:3" ht="14.25">
      <c r="A722" s="1949"/>
      <c r="B722" s="1950">
        <v>43343</v>
      </c>
      <c r="C722" s="1949" t="s">
        <v>2088</v>
      </c>
    </row>
    <row r="723" spans="1:3" ht="14.25">
      <c r="A723" s="1949"/>
      <c r="B723" s="1950">
        <v>43373</v>
      </c>
      <c r="C723" s="1949" t="s">
        <v>2089</v>
      </c>
    </row>
    <row r="724" spans="1:3" ht="14.25">
      <c r="A724" s="1949"/>
      <c r="B724" s="1950">
        <v>43404</v>
      </c>
      <c r="C724" s="1949" t="s">
        <v>2090</v>
      </c>
    </row>
    <row r="725" spans="1:3" ht="14.25">
      <c r="A725" s="1949"/>
      <c r="B725" s="1950">
        <v>43434</v>
      </c>
      <c r="C725" s="1949" t="s">
        <v>2091</v>
      </c>
    </row>
    <row r="726" spans="1:3" ht="14.25">
      <c r="A726" s="1949"/>
      <c r="B726" s="1950">
        <v>43465</v>
      </c>
      <c r="C726" s="1949" t="s">
        <v>2092</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smadjarova</cp:lastModifiedBy>
  <cp:lastPrinted>2018-04-12T14:33:43Z</cp:lastPrinted>
  <dcterms:created xsi:type="dcterms:W3CDTF">1997-12-10T11:54:07Z</dcterms:created>
  <dcterms:modified xsi:type="dcterms:W3CDTF">2018-07-17T13:40:45Z</dcterms:modified>
  <cp:category/>
  <cp:version/>
  <cp:contentType/>
  <cp:contentStatus/>
</cp:coreProperties>
</file>